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20" windowHeight="288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5 -" sheetId="46" r:id="rId46"/>
    <sheet name="- 56-" sheetId="47" r:id="rId47"/>
    <sheet name="- 57 -" sheetId="48" r:id="rId48"/>
    <sheet name="- 58 -" sheetId="49" r:id="rId49"/>
    <sheet name="- 59-" sheetId="50" r:id="rId50"/>
    <sheet name="- 60 -" sheetId="51" r:id="rId51"/>
    <sheet name="- 61 -" sheetId="52" r:id="rId52"/>
  </sheets>
  <externalReferences>
    <externalReference r:id="rId55"/>
  </externalReferences>
  <definedNames>
    <definedName name="_Fill" hidden="1">#REF!</definedName>
    <definedName name="capyear">'- 48 -'!$B$3</definedName>
    <definedName name="FALLYR">#REF!</definedName>
    <definedName name="HTML_CodePage" hidden="1">1252</definedName>
    <definedName name="HTML_Control" localSheetId="18" hidden="1">{"'- 4 -'!$A$1:$G$76","'-3 -'!$A$1:$G$77"}</definedName>
    <definedName name="HTML_Control" localSheetId="47" hidden="1">{"'- 4 -'!$A$1:$G$76","'-3 -'!$A$1:$G$77"}</definedName>
    <definedName name="HTML_Control" localSheetId="51"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'- 10 -'!$A$2:$K$30</definedName>
    <definedName name="_xlnm.Print_Area" localSheetId="8">'- 12 -'!$A$2:$L$52</definedName>
    <definedName name="_xlnm.Print_Area" localSheetId="9">'- 13 -'!$A$2:$L$52</definedName>
    <definedName name="_xlnm.Print_Area" localSheetId="10">'- 15 -'!$A$1:$I$60</definedName>
    <definedName name="_xlnm.Print_Area" localSheetId="11">'- 16 -'!$A$1:$I$60</definedName>
    <definedName name="_xlnm.Print_Area" localSheetId="12">'- 17 -'!$A$1:$J$60</definedName>
    <definedName name="_xlnm.Print_Area" localSheetId="13">'- 18 -'!$A$1:$G$58</definedName>
    <definedName name="_xlnm.Print_Area" localSheetId="14">'- 19 -'!$A$1:$J$60</definedName>
    <definedName name="_xlnm.Print_Area" localSheetId="15">'- 20 -'!$A$1:$I$60</definedName>
    <definedName name="_xlnm.Print_Area" localSheetId="16">'- 21 -'!$A$1:$J$60</definedName>
    <definedName name="_xlnm.Print_Area" localSheetId="17">'- 22 -'!$A$1:$J$60</definedName>
    <definedName name="_xlnm.Print_Area" localSheetId="18">'- 23 -'!$A$1:$F$60</definedName>
    <definedName name="_xlnm.Print_Area" localSheetId="19">'- 24 -'!$A$1:$I$60</definedName>
    <definedName name="_xlnm.Print_Area" localSheetId="20">'- 25 -'!$A$1:$J$60</definedName>
    <definedName name="_xlnm.Print_Area" localSheetId="21">'- 26 -'!$A$1:$E$60</definedName>
    <definedName name="_xlnm.Print_Area" localSheetId="22">'- 27 -'!$A$1:$J$60</definedName>
    <definedName name="_xlnm.Print_Area" localSheetId="23">'- 28 -'!$A$1:$J$60</definedName>
    <definedName name="_xlnm.Print_Area" localSheetId="24">'- 29 -'!$A$1:$E$60</definedName>
    <definedName name="_xlnm.Print_Area" localSheetId="1">'- 3 -'!$A$2:$F$60</definedName>
    <definedName name="_xlnm.Print_Area" localSheetId="25">'- 30 -'!$A$1:$G$60</definedName>
    <definedName name="_xlnm.Print_Area" localSheetId="26">'- 31 -'!$A$1:$G$60</definedName>
    <definedName name="_xlnm.Print_Area" localSheetId="27">'- 32 -'!$A$1:$G$60</definedName>
    <definedName name="_xlnm.Print_Area" localSheetId="28">'- 33 -'!$A$1:$F$60</definedName>
    <definedName name="_xlnm.Print_Area" localSheetId="29">'- 34 -'!$A$1:$F$60</definedName>
    <definedName name="_xlnm.Print_Area" localSheetId="30">'- 35 -'!$A$1:$H$60</definedName>
    <definedName name="_xlnm.Print_Area" localSheetId="31">'- 36 -'!$A$1:$E$60</definedName>
    <definedName name="_xlnm.Print_Area" localSheetId="32">'- 37 -'!$A$1:$G$60</definedName>
    <definedName name="_xlnm.Print_Area" localSheetId="33">'- 38 -'!$A$1:$J$60</definedName>
    <definedName name="_xlnm.Print_Area" localSheetId="34">'- 39 -'!$A$1:$E$60</definedName>
    <definedName name="_xlnm.Print_Area" localSheetId="2">'- 4 -'!$A$1:$E$60</definedName>
    <definedName name="_xlnm.Print_Area" localSheetId="35">'- 41 -'!$A$1:$H$60</definedName>
    <definedName name="_xlnm.Print_Area" localSheetId="36">'- 42 -'!$A$1:$G$60</definedName>
    <definedName name="_xlnm.Print_Area" localSheetId="37">'- 43 -'!$A$1:$I$60</definedName>
    <definedName name="_xlnm.Print_Area" localSheetId="38">'- 44 -'!$A$1:$I$60</definedName>
    <definedName name="_xlnm.Print_Area" localSheetId="39">'- 45 -'!$A$1:$D$61</definedName>
    <definedName name="_xlnm.Print_Area" localSheetId="40">'- 48 -'!$A$1:$G$60</definedName>
    <definedName name="_xlnm.Print_Area" localSheetId="41">'- 49 -'!$A$1:$F$60</definedName>
    <definedName name="_xlnm.Print_Area" localSheetId="42">'- 50 -'!$A$1:$E$60</definedName>
    <definedName name="_xlnm.Print_Area" localSheetId="43">'- 51 -'!$A$2:$H$74</definedName>
    <definedName name="_xlnm.Print_Area" localSheetId="44">'- 53 -'!$A$2:$H$74</definedName>
    <definedName name="_xlnm.Print_Area" localSheetId="45">'- 55 -'!$A$2:$G$72</definedName>
    <definedName name="_xlnm.Print_Area" localSheetId="46">'- 56-'!$A$1:$F$60</definedName>
    <definedName name="_xlnm.Print_Area" localSheetId="47">'- 57 -'!$A$1:$F$59</definedName>
    <definedName name="_xlnm.Print_Area" localSheetId="48">'- 58 -'!$A$1:$F$59</definedName>
    <definedName name="_xlnm.Print_Area" localSheetId="49">'- 59-'!$A$1:$F$60</definedName>
    <definedName name="_xlnm.Print_Area" localSheetId="3">'- 6 -'!$A$1:$H$55</definedName>
    <definedName name="_xlnm.Print_Area" localSheetId="50">'- 60 -'!$A$1:$E$60</definedName>
    <definedName name="_xlnm.Print_Area" localSheetId="51">'- 61 -'!$A$1:$E$59</definedName>
    <definedName name="_xlnm.Print_Area" localSheetId="4">'- 7 -'!$A$1:$G$60</definedName>
    <definedName name="_xlnm.Print_Area" localSheetId="5">'- 8 -'!$A$1:$H$60</definedName>
    <definedName name="_xlnm.Print_Area" localSheetId="6">'- 9 -'!$A$1:$D$59</definedName>
    <definedName name="REVYEAR">'- 42 -'!$B$2</definedName>
    <definedName name="SPRINGYR">#REF!</definedName>
    <definedName name="STATDATE">'- 6 -'!$B$3</definedName>
    <definedName name="TAXYEAR">'- 51 -'!$C$3</definedName>
  </definedNames>
  <calcPr fullCalcOnLoad="1"/>
</workbook>
</file>

<file path=xl/sharedStrings.xml><?xml version="1.0" encoding="utf-8"?>
<sst xmlns="http://schemas.openxmlformats.org/spreadsheetml/2006/main" count="3043" uniqueCount="562">
  <si>
    <r>
      <t>(3)</t>
    </r>
    <r>
      <rPr>
        <sz val="11"/>
        <rFont val="Times New Roman"/>
        <family val="1"/>
      </rPr>
      <t xml:space="preserve">  Includes revenue from other provincial government departments.</t>
    </r>
  </si>
  <si>
    <r>
      <t>(2)</t>
    </r>
    <r>
      <rPr>
        <sz val="11"/>
        <rFont val="Times New Roman"/>
        <family val="1"/>
      </rPr>
      <t xml:space="preserve">  Includes other miscellaneous support (Institutional Programs, Adult Learning Centres, General Support Grant, etc.).</t>
    </r>
  </si>
  <si>
    <r>
      <t>(1)</t>
    </r>
    <r>
      <rPr>
        <sz val="11"/>
        <rFont val="Times New Roman"/>
        <family val="1"/>
      </rPr>
      <t xml:space="preserve">  School divisions/districts may have set aside some or all of their surpluses for specific purposes.  For further information, please refer</t>
    </r>
  </si>
  <si>
    <t xml:space="preserve">      to the school divisions' financial statements.</t>
  </si>
  <si>
    <r>
      <t>(2)</t>
    </r>
    <r>
      <rPr>
        <sz val="11"/>
        <rFont val="Times New Roman"/>
        <family val="1"/>
      </rPr>
      <t xml:space="preserve">  Operating expenditures include transfers to other school divisions, organizations and individuals but not net transfers to capital.  These</t>
    </r>
  </si>
  <si>
    <t xml:space="preserve">      are the amounts reported as Total Expenses on page 3.</t>
  </si>
  <si>
    <r>
      <t>(1)</t>
    </r>
    <r>
      <rPr>
        <sz val="11"/>
        <rFont val="Times New Roman"/>
        <family val="1"/>
      </rPr>
      <t xml:space="preserve">  Includes transfers to bus reserves.</t>
    </r>
  </si>
  <si>
    <r>
      <t>(2)</t>
    </r>
    <r>
      <rPr>
        <sz val="11"/>
        <rFont val="Times New Roman"/>
        <family val="1"/>
      </rPr>
      <t xml:space="preserve">  Provided in recognition of the higher costs associated with sparsely populated rural and northern divisions.</t>
    </r>
  </si>
  <si>
    <r>
      <t>(1)</t>
    </r>
    <r>
      <rPr>
        <sz val="11"/>
        <rFont val="Times New Roman"/>
        <family val="1"/>
      </rPr>
      <t xml:space="preserve">  Support for Function 200 Exceptional expenditures less categorical support for special needs.</t>
    </r>
  </si>
  <si>
    <r>
      <t>(1)</t>
    </r>
    <r>
      <rPr>
        <sz val="11"/>
        <rFont val="Times New Roman"/>
        <family val="1"/>
      </rPr>
      <t xml:space="preserve">  Equalization is provided to recognize the varying ability of school divisions to meet the cost of unsupported program requirements</t>
    </r>
  </si>
  <si>
    <t xml:space="preserve">      through the property tax base of the school division.</t>
  </si>
  <si>
    <r>
      <t>(3)</t>
    </r>
    <r>
      <rPr>
        <sz val="11"/>
        <rFont val="Times New Roman"/>
        <family val="1"/>
      </rPr>
      <t xml:space="preserve">  Includes School Buildings "D" Support, Environmental Assistance Program, Vocational Equipment and Air Quality Program.</t>
    </r>
  </si>
  <si>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</si>
  <si>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</si>
  <si>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</si>
  <si>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</si>
  <si>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</si>
  <si>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</si>
  <si>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</si>
  <si>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</si>
  <si>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</si>
  <si>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</si>
  <si>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</si>
  <si>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</si>
  <si>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</si>
  <si>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</si>
  <si>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</si>
  <si>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</si>
  <si>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</si>
  <si>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</si>
  <si>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</si>
  <si>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</si>
  <si>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</si>
  <si>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</si>
  <si>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</si>
  <si>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</si>
  <si>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</si>
  <si>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</si>
  <si>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</si>
  <si>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</si>
  <si>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</si>
  <si>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</si>
  <si>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</si>
  <si>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</si>
  <si>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</si>
  <si>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</si>
  <si>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</si>
  <si>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</si>
  <si>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</si>
  <si>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</si>
  <si>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</si>
  <si>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</si>
  <si>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</si>
  <si>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</si>
  <si>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</si>
  <si>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</si>
  <si>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</si>
  <si>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</si>
  <si>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</si>
  <si>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</si>
  <si>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</si>
  <si>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</si>
  <si>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</si>
  <si>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</si>
  <si>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</si>
  <si>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</si>
  <si>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</si>
  <si>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</si>
  <si>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</si>
  <si>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</si>
  <si>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</si>
  <si>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</si>
  <si>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</si>
  <si>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</si>
  <si>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</si>
  <si>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</si>
  <si>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</si>
  <si>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</si>
  <si>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</si>
  <si>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</si>
  <si>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</si>
  <si>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</si>
  <si>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</si>
  <si>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</si>
  <si>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</si>
  <si>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</si>
  <si>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</si>
  <si>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</si>
  <si>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</si>
  <si>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</si>
  <si>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</si>
  <si>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</si>
  <si>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</si>
  <si>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</si>
  <si>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</si>
  <si>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</si>
  <si>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</si>
  <si>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</si>
  <si>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</si>
  <si>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</si>
  <si>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</si>
  <si>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</si>
  <si>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</si>
  <si>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</si>
  <si>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</si>
  <si>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</si>
  <si>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</si>
  <si>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</si>
  <si>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</si>
  <si>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</si>
  <si>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</si>
  <si>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</si>
  <si>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</si>
  <si>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</si>
  <si>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</si>
  <si>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</si>
  <si>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</si>
  <si>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</si>
  <si>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</si>
  <si>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</si>
  <si>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</si>
  <si>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</si>
  <si>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</si>
  <si>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</si>
  <si>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</si>
  <si>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</si>
  <si>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n/a</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</si>
  <si>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</si>
  <si>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</si>
  <si>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</si>
  <si>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</si>
  <si>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</si>
  <si>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</si>
  <si>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</si>
  <si>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</si>
  <si>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</si>
  <si>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</si>
  <si>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</si>
  <si>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</si>
  <si>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</si>
  <si>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</si>
  <si>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</si>
  <si>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</si>
  <si>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</si>
  <si>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</si>
  <si>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</si>
  <si>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</si>
  <si>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</si>
  <si>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</si>
  <si>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</si>
  <si>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</si>
  <si>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</si>
  <si>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</si>
  <si>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</si>
  <si>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</si>
  <si>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</si>
  <si>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</si>
  <si>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</si>
  <si>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</si>
  <si>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</si>
  <si>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</si>
  <si>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</si>
  <si>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</si>
  <si>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</si>
  <si>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</si>
  <si>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</si>
  <si>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</si>
  <si>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</si>
  <si>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</si>
  <si>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</si>
  <si>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</si>
  <si>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</si>
  <si>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</si>
  <si>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</si>
  <si>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</si>
  <si>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</si>
  <si>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</si>
  <si>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</si>
  <si>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</si>
  <si>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</si>
  <si>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</si>
  <si>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</si>
  <si>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</si>
  <si>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</si>
  <si>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</si>
  <si>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</si>
  <si>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</si>
  <si>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</si>
  <si>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</si>
  <si>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</si>
  <si>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</si>
  <si>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</si>
  <si>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</si>
  <si>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</si>
  <si>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</si>
  <si>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OTHER DIVISIONS</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</si>
  <si>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</si>
  <si>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</si>
  <si>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</si>
  <si>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</si>
  <si>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</si>
  <si>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</si>
  <si>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</si>
  <si>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</si>
  <si>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</si>
  <si>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</si>
  <si>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</si>
  <si>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</si>
  <si>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</si>
  <si>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</si>
  <si>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</si>
  <si>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</si>
  <si>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</si>
  <si>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</si>
  <si>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</si>
  <si>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</si>
  <si>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</si>
  <si>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</si>
  <si>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CHECK</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</si>
  <si>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</si>
  <si>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</si>
  <si>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</si>
  <si>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</si>
  <si>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</si>
  <si>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</si>
  <si>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</si>
  <si>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OTHER RESOURCE</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</si>
  <si>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</si>
  <si>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</si>
  <si>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</si>
  <si>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</si>
  <si>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</si>
  <si>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</si>
  <si>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</si>
  <si>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</si>
  <si>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</si>
  <si>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</si>
  <si>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 xml:space="preserve"> FUNCTION 500: DIVISIONAL ADMINISTRATION</t>
  </si>
  <si>
    <r>
      <t xml:space="preserve"> FUNCTION 500: </t>
    </r>
    <r>
      <rPr>
        <b/>
        <sz val="10"/>
        <rFont val="Times New Roman"/>
        <family val="1"/>
      </rPr>
      <t>(CONT'D)</t>
    </r>
  </si>
  <si>
    <t>PRE-KINDERGARTEN</t>
  </si>
  <si>
    <t xml:space="preserve">N/A </t>
  </si>
  <si>
    <t>SENIOR YEARS</t>
  </si>
  <si>
    <t>EXPENDITURE</t>
  </si>
  <si>
    <t>(1)</t>
  </si>
  <si>
    <t>- 10 -</t>
  </si>
  <si>
    <t>EDUCATOR</t>
  </si>
  <si>
    <t>PUPIL /</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</si>
  <si>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</si>
  <si>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</si>
  <si>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</si>
  <si>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</si>
  <si>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</si>
  <si>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</si>
  <si>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</si>
  <si>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</si>
  <si>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</si>
  <si>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</si>
  <si>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</si>
  <si>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</si>
  <si>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</si>
  <si>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</si>
  <si>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</si>
  <si>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</si>
  <si>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</si>
  <si>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</si>
  <si>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</si>
  <si>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</si>
  <si>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</si>
  <si>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</si>
  <si>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</si>
  <si>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</si>
  <si>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</si>
  <si>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</si>
  <si>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</si>
  <si>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r>
      <t xml:space="preserve">SINGLE TRACK SCHOOLS </t>
    </r>
    <r>
      <rPr>
        <b/>
        <vertAlign val="superscript"/>
        <sz val="11"/>
        <rFont val="Times New Roman"/>
        <family val="1"/>
      </rPr>
      <t>(1)</t>
    </r>
  </si>
  <si>
    <r>
      <t xml:space="preserve">GIFTED EDUCATION </t>
    </r>
    <r>
      <rPr>
        <b/>
        <vertAlign val="superscript"/>
        <sz val="11"/>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</si>
  <si>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</si>
  <si>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</si>
  <si>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</si>
  <si>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</si>
  <si>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</si>
  <si>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</si>
  <si>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</si>
  <si>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</si>
  <si>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</si>
  <si>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</si>
  <si>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</si>
  <si>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</si>
  <si>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</si>
  <si>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</si>
  <si>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</si>
  <si>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</si>
  <si>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</si>
  <si>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</si>
  <si>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</si>
  <si>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</si>
  <si>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</si>
  <si>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</si>
  <si>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</si>
  <si>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</si>
  <si>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</si>
  <si>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</si>
  <si>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</si>
  <si>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</si>
  <si>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</si>
  <si>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ADULT LEARNING CENTRES</t>
  </si>
  <si>
    <t>ACHIEVEMENT</t>
  </si>
  <si>
    <r>
      <t xml:space="preserve">SUPPORT </t>
    </r>
    <r>
      <rPr>
        <b/>
        <vertAlign val="superscript"/>
        <sz val="11"/>
        <rFont val="Times New Roman"/>
        <family val="1"/>
      </rPr>
      <t>(1)</t>
    </r>
  </si>
  <si>
    <t>AND OTHER</t>
  </si>
  <si>
    <t>- 13 -</t>
  </si>
  <si>
    <t>- 12 -</t>
  </si>
  <si>
    <t>SQ. FT. PER</t>
  </si>
  <si>
    <r>
      <t xml:space="preserve">SQ. FT. </t>
    </r>
    <r>
      <rPr>
        <b/>
        <vertAlign val="superscript"/>
        <sz val="11"/>
        <rFont val="Times New Roman"/>
        <family val="1"/>
      </rPr>
      <t>(1)</t>
    </r>
  </si>
  <si>
    <r>
      <t xml:space="preserve">PUPIL </t>
    </r>
    <r>
      <rPr>
        <b/>
        <vertAlign val="superscript"/>
        <sz val="11"/>
        <rFont val="Times New Roman"/>
        <family val="1"/>
      </rPr>
      <t>(2)</t>
    </r>
  </si>
  <si>
    <t>INSTRUCTIONAL</t>
  </si>
  <si>
    <t>SCHOOLS</t>
  </si>
  <si>
    <t>FUNDING OF</t>
  </si>
  <si>
    <t>FUNDING OF SCHOOLS PROGRAM (CONT'D)</t>
  </si>
  <si>
    <t>FUNDING OF SCHOOLS PROGRAM</t>
  </si>
  <si>
    <t>TOTAL FUNDING</t>
  </si>
  <si>
    <t>OF SCHOOLS</t>
  </si>
  <si>
    <r>
      <t xml:space="preserve">NEEDS </t>
    </r>
    <r>
      <rPr>
        <b/>
        <vertAlign val="superscript"/>
        <sz val="11"/>
        <rFont val="Times New Roman"/>
        <family val="1"/>
      </rPr>
      <t>(1)</t>
    </r>
  </si>
  <si>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</si>
  <si>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</si>
  <si>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</si>
  <si>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</si>
  <si>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</si>
  <si>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</si>
  <si>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</si>
  <si>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</si>
  <si>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</si>
  <si>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</si>
  <si>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</si>
  <si>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</si>
  <si>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</si>
  <si>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</si>
  <si>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</si>
  <si>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</si>
  <si>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</si>
  <si>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</si>
  <si>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</si>
  <si>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</si>
  <si>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</si>
  <si>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</si>
  <si>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</si>
  <si>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</si>
  <si>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</si>
  <si>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</si>
  <si>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</si>
  <si>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</si>
  <si>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</si>
  <si>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</si>
  <si>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</si>
  <si>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</si>
  <si>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</si>
  <si>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</si>
  <si>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</si>
  <si>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</si>
  <si>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</si>
  <si>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</si>
  <si>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</si>
  <si>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</si>
  <si>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</si>
  <si>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PINE FALLS</t>
  </si>
  <si>
    <t xml:space="preserve"> WHITESHELL</t>
  </si>
  <si>
    <t xml:space="preserve"> WPG. TECHNICAL COLLEGE</t>
  </si>
  <si>
    <t xml:space="preserve"> D.S.F.M.</t>
  </si>
  <si>
    <r>
      <t xml:space="preserve">TRANSFERS </t>
    </r>
    <r>
      <rPr>
        <b/>
        <vertAlign val="superscript"/>
        <sz val="11"/>
        <rFont val="Times New Roman"/>
        <family val="1"/>
      </rPr>
      <t>(1)</t>
    </r>
  </si>
  <si>
    <t>MEDIA CENTRE</t>
  </si>
  <si>
    <t xml:space="preserve"> ANALYSIS OF OPERATIONS AND MAINTENANCE EXPENDITURES FOR SCHOOL BUILDINGS</t>
  </si>
  <si>
    <t>FIELD TRIPS</t>
  </si>
  <si>
    <t>CENTRES</t>
  </si>
  <si>
    <t xml:space="preserve"> FUNCTION 300: ADULT LEARNING CENTRES</t>
  </si>
  <si>
    <r>
      <t xml:space="preserve"> INFORMATION TECHNOLOGY EXPENDITURES </t>
    </r>
    <r>
      <rPr>
        <b/>
        <vertAlign val="superscript"/>
        <sz val="12"/>
        <rFont val="Times New Roman"/>
        <family val="1"/>
      </rPr>
      <t>(1)</t>
    </r>
  </si>
  <si>
    <r>
      <t xml:space="preserve">EXPENDITURES </t>
    </r>
    <r>
      <rPr>
        <b/>
        <vertAlign val="superscript"/>
        <sz val="10"/>
        <rFont val="Times New Roman"/>
        <family val="1"/>
      </rPr>
      <t xml:space="preserve">(2)                                                   </t>
    </r>
  </si>
  <si>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</si>
  <si>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</si>
  <si>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</si>
  <si>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</si>
  <si>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</si>
  <si>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</si>
  <si>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</si>
  <si>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</si>
  <si>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</si>
  <si>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</si>
  <si>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</si>
  <si>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</si>
  <si>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</si>
  <si>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</si>
  <si>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</si>
  <si>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</si>
  <si>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</si>
  <si>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</si>
  <si>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</si>
  <si>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</si>
  <si>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</si>
  <si>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</si>
  <si>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</si>
  <si>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</si>
  <si>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</si>
  <si>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</si>
  <si>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</si>
  <si>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INVENTORY ADJUSTMENT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</si>
  <si>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</si>
  <si>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</si>
  <si>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</si>
  <si>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</si>
  <si>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</si>
  <si>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</si>
  <si>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</si>
  <si>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June 30 / 03</t>
  </si>
  <si>
    <t xml:space="preserve">  TRAVEL AND MEETINGS</t>
  </si>
  <si>
    <t>OPERATING FUND - ACCUMULATED SURPLUS/(DEFICIT)</t>
  </si>
  <si>
    <t>ACCUMULATED SURPLUS/</t>
  </si>
  <si>
    <r>
      <t xml:space="preserve">(DEFICIT) AT YEAR END </t>
    </r>
    <r>
      <rPr>
        <b/>
        <vertAlign val="superscript"/>
        <sz val="11"/>
        <rFont val="Times New Roman"/>
        <family val="1"/>
      </rPr>
      <t>(1)</t>
    </r>
  </si>
  <si>
    <r>
      <t xml:space="preserve">EXPENDITURES </t>
    </r>
    <r>
      <rPr>
        <b/>
        <vertAlign val="superscript"/>
        <sz val="11"/>
        <rFont val="Times New Roman"/>
        <family val="1"/>
      </rPr>
      <t>(2)</t>
    </r>
  </si>
  <si>
    <t>N/A</t>
  </si>
  <si>
    <r>
      <t xml:space="preserve">2001/2002 ACTUAL </t>
    </r>
    <r>
      <rPr>
        <b/>
        <vertAlign val="superscript"/>
        <sz val="11"/>
        <rFont val="Times New Roman"/>
        <family val="1"/>
      </rPr>
      <t>(1)</t>
    </r>
  </si>
  <si>
    <t>2002/2003 ACTUAL</t>
  </si>
  <si>
    <t>EDUCATION, CITIZENSHIP AND YOUTH</t>
  </si>
  <si>
    <t xml:space="preserve">       </t>
  </si>
  <si>
    <r>
      <t>(1)</t>
    </r>
    <r>
      <rPr>
        <sz val="11"/>
        <rFont val="Times New Roman"/>
        <family val="1"/>
      </rPr>
      <t xml:space="preserve">  90% or more of Regular Instruction enrolment is in one language program.</t>
    </r>
  </si>
  <si>
    <r>
      <t>(2)</t>
    </r>
    <r>
      <rPr>
        <sz val="11"/>
        <rFont val="Times New Roman"/>
        <family val="1"/>
      </rPr>
      <t xml:space="preserve">  No one language program comprises 90% or more of Regular Instruction enrolment.</t>
    </r>
  </si>
  <si>
    <r>
      <t>(2)</t>
    </r>
    <r>
      <rPr>
        <sz val="11"/>
        <rFont val="Times New Roman"/>
        <family val="1"/>
      </rPr>
      <t xml:space="preserve">  Operating fund transfers (i.e. payments to other school divisions, organizations and individuals) are excluded to provide more accurate</t>
    </r>
  </si>
  <si>
    <t xml:space="preserve">      Centres) and Function 400 (Community Education and Services).</t>
  </si>
  <si>
    <t xml:space="preserve">      comprised of split former divisions are shown as "N/A".  Provincial figures however include all divisions on a total basis.</t>
  </si>
  <si>
    <t xml:space="preserve">      per pupil costs.  Also excluded are expenditures on educational services not provided to K-S4 pupils: Function 300 (Adult Learning</t>
  </si>
  <si>
    <r>
      <t>(1)</t>
    </r>
    <r>
      <rPr>
        <sz val="11"/>
        <rFont val="Times New Roman"/>
        <family val="1"/>
      </rPr>
      <t xml:space="preserve">  Pupils taught in schools, whether or not they are counted for grant purposes.</t>
    </r>
  </si>
  <si>
    <r>
      <t>(2)</t>
    </r>
    <r>
      <rPr>
        <sz val="11"/>
        <rFont val="Times New Roman"/>
        <family val="1"/>
      </rPr>
      <t xml:space="preserve">  The total number of pupils enrolled in schools adjusted for full time equivalence (F.T.E.).  Full time equivalent means pupils are</t>
    </r>
  </si>
  <si>
    <r>
      <t>(3)</t>
    </r>
    <r>
      <rPr>
        <sz val="11"/>
        <rFont val="Times New Roman"/>
        <family val="1"/>
      </rPr>
      <t xml:space="preserve">  Provincially supported pupils (actual as of September 30, 2001).</t>
    </r>
  </si>
  <si>
    <t xml:space="preserve">      counted on the basis of time attending school - eg. Kindergarten as 1/2.  This total is the same as reported on page 7.</t>
  </si>
  <si>
    <r>
      <t>(1)</t>
    </r>
    <r>
      <rPr>
        <sz val="11"/>
        <rFont val="Times New Roman"/>
        <family val="1"/>
      </rPr>
      <t xml:space="preserve">  Based on object code 330 instructional-teaching personnel and F.T.E. students in Function 100.  Included are teachers in physical</t>
    </r>
  </si>
  <si>
    <t>(2)  Based on total instructional-teaching (excluding Community Education and Adult Learning Centres) as well as school-based</t>
  </si>
  <si>
    <t xml:space="preserve">      administrative staff - eg. department heads, coordinators, principals and vice-principals - and K-S4 F.T.E. enrolment.  Division </t>
  </si>
  <si>
    <t xml:space="preserve">      administrators (Function 500) are excluded.  While this definition is consistent with Statistics Canada's, the provincial ratio may</t>
  </si>
  <si>
    <t xml:space="preserve">      not agree exactly due to different data sources.</t>
  </si>
  <si>
    <t>Health and Education Support Levy.</t>
  </si>
  <si>
    <r>
      <t>(1)</t>
    </r>
    <r>
      <rPr>
        <sz val="11"/>
        <rFont val="Times New Roman"/>
        <family val="1"/>
      </rPr>
      <t xml:space="preserve">  90% or more of Regular Instruction enrolment is in one language.</t>
    </r>
  </si>
  <si>
    <r>
      <t>(1)</t>
    </r>
    <r>
      <rPr>
        <sz val="11"/>
        <rFont val="Times New Roman"/>
        <family val="1"/>
      </rPr>
      <t xml:space="preserve">  Does not include generalized enrichment activities undertaken by school divisions.</t>
    </r>
  </si>
  <si>
    <r>
      <t>(1)</t>
    </r>
    <r>
      <rPr>
        <sz val="11"/>
        <rFont val="Times New Roman"/>
        <family val="1"/>
      </rPr>
      <t xml:space="preserve">  Based on area (square footage) of active school buildings as at June 30, 2003.  Includes rented and leased space.</t>
    </r>
  </si>
  <si>
    <r>
      <t>(2)</t>
    </r>
    <r>
      <rPr>
        <sz val="11"/>
        <rFont val="Times New Roman"/>
        <family val="1"/>
      </rPr>
      <t xml:space="preserve">  Square footage (as per note above) divided by total F.T.E. enrolment (from page 7).</t>
    </r>
  </si>
  <si>
    <r>
      <t>(1)</t>
    </r>
    <r>
      <rPr>
        <sz val="11"/>
        <rFont val="Times New Roman"/>
        <family val="1"/>
      </rPr>
      <t xml:space="preserve">  See appendix for more detail.</t>
    </r>
  </si>
  <si>
    <t xml:space="preserve">NO. </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</si>
  <si>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</si>
  <si>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</si>
  <si>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</si>
  <si>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</si>
  <si>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</si>
  <si>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</si>
  <si>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</si>
  <si>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</si>
  <si>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</si>
  <si>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</si>
  <si>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</si>
  <si>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</si>
  <si>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</si>
  <si>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</si>
  <si>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</si>
  <si>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</si>
  <si>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</si>
  <si>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</si>
  <si>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</si>
  <si>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</si>
  <si>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</si>
  <si>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</si>
  <si>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</si>
  <si>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</si>
  <si>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</si>
  <si>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</si>
  <si>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</si>
  <si>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</si>
  <si>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</si>
  <si>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</si>
  <si>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</si>
  <si>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</si>
  <si>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</si>
  <si>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</si>
  <si>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</si>
  <si>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</si>
  <si>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</si>
  <si>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</si>
  <si>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</si>
  <si>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</si>
  <si>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</si>
  <si>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</si>
  <si>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</si>
  <si>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</si>
  <si>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</si>
  <si>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PRAIRIE SPIRIT</t>
  </si>
  <si>
    <t>CHURCHILL</t>
  </si>
  <si>
    <t>SNOW LAKE</t>
  </si>
  <si>
    <t>LYNN LAKE</t>
  </si>
  <si>
    <t>MYSTERY LAKE</t>
  </si>
  <si>
    <t>SPRAGUE CONSOLIDATED</t>
  </si>
  <si>
    <t>LEAF RAPIDS</t>
  </si>
  <si>
    <t>WPG. TECHNICAL COLLEGE</t>
  </si>
  <si>
    <t>L.G.D. OF PINAWA</t>
  </si>
  <si>
    <t>NOT IN ANY DIVISION</t>
  </si>
  <si>
    <t>PROVINCE - TOTAL</t>
  </si>
  <si>
    <t>2002 AMT  ^</t>
  </si>
  <si>
    <t>2001 AMT  ^</t>
  </si>
  <si>
    <r>
      <t xml:space="preserve">STATISTICAL SUMMARY </t>
    </r>
    <r>
      <rPr>
        <b/>
        <vertAlign val="superscript"/>
        <sz val="11"/>
        <rFont val="Times New Roman"/>
        <family val="1"/>
      </rPr>
      <t>(1)</t>
    </r>
  </si>
  <si>
    <r>
      <t xml:space="preserve">PER PUPIL </t>
    </r>
    <r>
      <rPr>
        <b/>
        <vertAlign val="superscript"/>
        <sz val="11"/>
        <rFont val="Times New Roman"/>
        <family val="1"/>
      </rPr>
      <t>(2)</t>
    </r>
  </si>
  <si>
    <r>
      <t xml:space="preserve"> RATIO </t>
    </r>
    <r>
      <rPr>
        <b/>
        <vertAlign val="superscript"/>
        <sz val="11"/>
        <rFont val="Times New Roman"/>
        <family val="1"/>
      </rPr>
      <t>(3)</t>
    </r>
  </si>
  <si>
    <r>
      <t>(2)</t>
    </r>
    <r>
      <rPr>
        <sz val="11"/>
        <rFont val="Times New Roman"/>
        <family val="1"/>
      </rPr>
      <t xml:space="preserve">  From page 4 (for more information, see page 4).</t>
    </r>
  </si>
  <si>
    <r>
      <t>(3)</t>
    </r>
    <r>
      <rPr>
        <sz val="11"/>
        <rFont val="Times New Roman"/>
        <family val="1"/>
      </rPr>
      <t xml:space="preserve">  From page 9 (for more information, see page 9).</t>
    </r>
  </si>
  <si>
    <r>
      <t xml:space="preserve">EDUCATION SUPPORT LEVY </t>
    </r>
    <r>
      <rPr>
        <b/>
        <vertAlign val="superscript"/>
        <sz val="11"/>
        <rFont val="Times New Roman"/>
        <family val="1"/>
      </rPr>
      <t>(2)</t>
    </r>
  </si>
  <si>
    <r>
      <t xml:space="preserve">FOR THE 2002 TAXATION YEAR </t>
    </r>
    <r>
      <rPr>
        <b/>
        <vertAlign val="superscript"/>
        <sz val="11"/>
        <rFont val="Times New Roman"/>
        <family val="1"/>
      </rPr>
      <t>(1)</t>
    </r>
  </si>
  <si>
    <r>
      <t xml:space="preserve">MILL RATE </t>
    </r>
    <r>
      <rPr>
        <b/>
        <vertAlign val="superscript"/>
        <sz val="11"/>
        <rFont val="Times New Roman"/>
        <family val="1"/>
      </rPr>
      <t>(2)</t>
    </r>
  </si>
  <si>
    <r>
      <t xml:space="preserve">RESIDENT PUPIL </t>
    </r>
    <r>
      <rPr>
        <b/>
        <vertAlign val="superscript"/>
        <sz val="11"/>
        <rFont val="Times New Roman"/>
        <family val="1"/>
      </rPr>
      <t>(2)</t>
    </r>
  </si>
  <si>
    <r>
      <t>(1)</t>
    </r>
    <r>
      <rPr>
        <sz val="11"/>
        <rFont val="Times New Roman"/>
        <family val="1"/>
      </rPr>
      <t xml:space="preserve">  Includes vehicle support for school buses.</t>
    </r>
  </si>
  <si>
    <r>
      <t>(2)</t>
    </r>
    <r>
      <rPr>
        <sz val="11"/>
        <rFont val="Times New Roman"/>
        <family val="1"/>
      </rPr>
      <t xml:space="preserve">  Includes support for coordinators, clinicians and level II and III pupils.  Note: total special needs support is $106,934,441.</t>
    </r>
  </si>
  <si>
    <r>
      <t>(3)</t>
    </r>
    <r>
      <rPr>
        <sz val="11"/>
        <rFont val="Times New Roman"/>
        <family val="1"/>
      </rPr>
      <t xml:space="preserve">  Support for expenditures related to At Risk students which may be recorded under Functions 100, 200 and 600.</t>
    </r>
  </si>
  <si>
    <t>(2)</t>
  </si>
  <si>
    <t>Education Support Levy mill rates are 6.64 mills for urban and farm residential property and 16.50 mills for other property.</t>
  </si>
  <si>
    <t>Mill rates for Flin Flon #46, Snow Lake #2309 and Mystery Lake #2355 are adjusted for mining revenue.</t>
  </si>
  <si>
    <t>School division amalgamations took effect in July, 2002.  For the 2002 taxation year, levies were set by the former divisions prior to</t>
  </si>
  <si>
    <t>Assessment per resident pupil is based on total portioned assessment adjusted for allocations to the D.S.F.M. and corresponds to data</t>
  </si>
  <si>
    <t>LOCAL TAXATION AND ASSESSMENT PER RESIDENT PUPIL</t>
  </si>
  <si>
    <r>
      <t>(1)</t>
    </r>
    <r>
      <rPr>
        <sz val="11"/>
        <rFont val="Times New Roman"/>
        <family val="1"/>
      </rPr>
      <t xml:space="preserve">  Based on a grant per eligible pupil at September 30, 2001.</t>
    </r>
  </si>
  <si>
    <t xml:space="preserve">  EXECUTIVE, MANAGERIAL &amp; SUPERVISORY</t>
  </si>
  <si>
    <r>
      <t>(1)</t>
    </r>
    <r>
      <rPr>
        <sz val="11"/>
        <rFont val="Times New Roman"/>
        <family val="1"/>
      </rPr>
      <t xml:space="preserve">  Assessment per resident pupil and special levy mill rates are not available on an amalgamated division basis for the 2002 taxation</t>
    </r>
  </si>
  <si>
    <t xml:space="preserve">      year and so are excluded from this statistical summary.  These statistics are presented on the former division basis on pages 53 and 55.</t>
  </si>
  <si>
    <r>
      <t>(2)</t>
    </r>
    <r>
      <rPr>
        <sz val="11"/>
        <rFont val="Times New Roman"/>
        <family val="1"/>
      </rPr>
      <t xml:space="preserve">  Operating fund transfers are payments to other school divisions, organizations and individuals.  These are removed to provide more</t>
    </r>
  </si>
  <si>
    <t xml:space="preserve">      accurate per pupil costs.</t>
  </si>
  <si>
    <r>
      <t>(3)</t>
    </r>
    <r>
      <rPr>
        <sz val="11"/>
        <rFont val="Times New Roman"/>
        <family val="1"/>
      </rPr>
      <t xml:space="preserve">  As reported on pages 10 and 13 (on a provincial basis).</t>
    </r>
  </si>
  <si>
    <r>
      <t>(4)</t>
    </r>
    <r>
      <rPr>
        <sz val="11"/>
        <rFont val="Times New Roman"/>
        <family val="1"/>
      </rPr>
      <t xml:space="preserve">  Expenditures for Adult Learning Centres and Community Education and Services (Functions 300 and 400).</t>
    </r>
  </si>
  <si>
    <r>
      <t>(5)</t>
    </r>
    <r>
      <rPr>
        <sz val="11"/>
        <rFont val="Times New Roman"/>
        <family val="1"/>
      </rPr>
      <t xml:space="preserve">  As reported on page 4.</t>
    </r>
  </si>
  <si>
    <r>
      <t>(1)</t>
    </r>
    <r>
      <rPr>
        <sz val="11"/>
        <rFont val="Times New Roman"/>
        <family val="1"/>
      </rPr>
      <t xml:space="preserve">  All other categorical support not shown elsewhere (eg. Heritage Language, English as a Second Language, Northern Allowance, etc.).</t>
    </r>
  </si>
  <si>
    <r>
      <t>(1)</t>
    </r>
    <r>
      <rPr>
        <sz val="11"/>
        <rFont val="Times New Roman"/>
        <family val="1"/>
      </rPr>
      <t xml:space="preserve">  Total operating expenditures as reported on the Statement of Revenues, Expenditures and Accumulated Surplus by each school</t>
    </r>
  </si>
  <si>
    <t xml:space="preserve">      division.</t>
  </si>
  <si>
    <r>
      <t>(1)</t>
    </r>
    <r>
      <rPr>
        <sz val="11"/>
        <rFont val="Times New Roman"/>
        <family val="1"/>
      </rPr>
      <t xml:space="preserve">  For 2001/2002, amounts shown for amalgamated divisions are derived on the basis of the former divisions that now comprise them.  For</t>
    </r>
  </si>
  <si>
    <t xml:space="preserve">      information on the former divisions which now comprise these new divisions, please see explanatory note 8 on page viii.  Divisions</t>
  </si>
  <si>
    <t>ACTUAL</t>
  </si>
  <si>
    <t>SEPT. 30, 2001</t>
  </si>
  <si>
    <t>SEPT. 30, 2002</t>
  </si>
  <si>
    <t xml:space="preserve">      education, music, ESL, etc. in addition to regular classroom teachers.  School-based administrative personnel are excluded.</t>
  </si>
  <si>
    <t>Reallocation of administration costs associated with Adult Learning Centre operations from Function 500 to Function 300.</t>
  </si>
  <si>
    <r>
      <t xml:space="preserve">  RECHARGE </t>
    </r>
    <r>
      <rPr>
        <vertAlign val="superscript"/>
        <sz val="11"/>
        <rFont val="Times New Roman"/>
        <family val="1"/>
      </rPr>
      <t>(1)</t>
    </r>
  </si>
  <si>
    <r>
      <t>(1)</t>
    </r>
    <r>
      <rPr>
        <sz val="11"/>
        <rFont val="Times New Roman"/>
        <family val="1"/>
      </rPr>
      <t xml:space="preserve"> Reallocation of administration costs associated with Adult Learning Centre operations from Function 500 to Function 300.</t>
    </r>
  </si>
  <si>
    <t>BY FUNCTION AND OBJECT</t>
  </si>
  <si>
    <t>amalgamation, so both the assessments and levies are presented on that basis for this report.  For more information, including the</t>
  </si>
  <si>
    <t>former divisions that make up the new divisions, see note 8, page viii.</t>
  </si>
  <si>
    <r>
      <t>(1)</t>
    </r>
    <r>
      <rPr>
        <sz val="11"/>
        <rFont val="Times New Roman"/>
        <family val="1"/>
      </rPr>
      <t xml:space="preserve">  Excludes information technology expenditures in Function 300 (Adult Learning Centres) and Function 400 (Community Education and</t>
    </r>
  </si>
  <si>
    <t xml:space="preserve">      Services).</t>
  </si>
  <si>
    <t>provided in the calculation of support to school divisions.  Assessment per resident pupil for Flin Flon #46, Snow Lake #2309 and</t>
  </si>
  <si>
    <t>Mystery Lake #2355 reflects non-assessed mining properties.  D.F.S.M. #49 assessment per resident pupil is derived on a pro rata</t>
  </si>
  <si>
    <t>basis according to enrolment within D.F.S.M. boundaries.</t>
  </si>
  <si>
    <r>
      <t xml:space="preserve">DUAL TRACK SCHOOLS </t>
    </r>
    <r>
      <rPr>
        <b/>
        <vertAlign val="superscript"/>
        <sz val="11"/>
        <rFont val="Times New Roman"/>
        <family val="1"/>
      </rPr>
      <t>(1)</t>
    </r>
  </si>
  <si>
    <r>
      <t>(1)</t>
    </r>
    <r>
      <rPr>
        <sz val="11"/>
        <rFont val="Times New Roman"/>
        <family val="1"/>
      </rPr>
      <t xml:space="preserve">  No one language program comprises 90% or more of Regular Instruction enrolment.</t>
    </r>
  </si>
  <si>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</si>
  <si>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</si>
  <si>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</si>
  <si>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Government web site remain the final authority.</t>
  </si>
  <si>
    <t>FRAME Report: 2002/03 Actual</t>
  </si>
  <si>
    <t>The cover page, table of contents, forward and introduction, etc. as well as the graphs (e.g. pie charts, bar charts, etc.) are not included.  The complete report is available in PDF format on the same web site from which you retrieved this Excel file.</t>
  </si>
  <si>
    <t>OPERATING FUND 2002/2003 ACTUAL</t>
  </si>
  <si>
    <t>ANALYSIS OF OPERATING FUND REVENUE: 2002/2003 ACTUAL</t>
  </si>
  <si>
    <t>FOR THE YEAR ENDED JUNE 30, 2003</t>
  </si>
  <si>
    <t>% OF 2002/2003</t>
  </si>
  <si>
    <t>CAPITAL FUND 2002/2003 ACTUAL</t>
  </si>
  <si>
    <t>ACTUAL SEPTEMBER 30, 2002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</si>
</sst>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_ ;\(#,##0.00\)"/>
  </numFmts>
  <fonts count="25">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name val="Arial"/>
      <family val="2"/>
    </font>
    <font>
      <i/>
      <sz val="10"/>
      <name val="Times New Roman"/>
      <family val="1"/>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sz val="8"/>
      <name val="Times New Roman"/>
      <family val="0"/>
    </font>
    <font>
      <sz val="13"/>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gray125">
        <bgColor indexed="9"/>
      </patternFill>
    </fill>
    <fill>
      <patternFill patternType="solid">
        <fgColor indexed="44"/>
        <bgColor indexed="64"/>
      </patternFill>
    </fill>
  </fills>
  <borders count="35">
    <border>
      <left/>
      <right/>
      <top/>
      <bottom/>
      <diagonal/>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thin"/>
      <right style="thin"/>
      <top>
        <color indexed="63"/>
      </top>
      <bottom>
        <color indexed="63"/>
      </bottom>
    </border>
    <border>
      <left style="thin"/>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thin"/>
      <right style="thin"/>
      <top style="thin"/>
      <bottom style="thin"/>
    </border>
    <border>
      <left style="thin"/>
      <right style="thin"/>
      <top style="thin">
        <color indexed="8"/>
      </top>
      <bottom style="thin">
        <color indexed="8"/>
      </bottom>
    </border>
    <border>
      <left style="double">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553">
    <xf numFmtId="37" fontId="0" fillId="0" borderId="0" xfId="0" applyAlignment="1">
      <alignment/>
    </xf>
    <xf numFmtId="37" fontId="0" fillId="0" borderId="0" xfId="0" applyAlignment="1">
      <alignment horizontal="right"/>
    </xf>
    <xf numFmtId="172" fontId="3" fillId="0" borderId="0" xfId="0" applyNumberFormat="1" applyFont="1" applyAlignment="1" applyProtection="1">
      <alignment/>
      <protection locked="0"/>
    </xf>
    <xf numFmtId="37" fontId="0" fillId="0" borderId="0" xfId="0" applyFont="1" applyAlignment="1">
      <alignment/>
    </xf>
    <xf numFmtId="37" fontId="1" fillId="3" borderId="2" xfId="0" applyFont="1" applyFill="1" applyBorder="1" applyAlignment="1" applyProtection="1">
      <alignment horizontal="centerContinuous"/>
      <protection locked="0"/>
    </xf>
    <xf numFmtId="37" fontId="6" fillId="0" borderId="3" xfId="0" applyFont="1" applyBorder="1" applyAlignment="1" applyProtection="1">
      <alignment/>
      <protection locked="0"/>
    </xf>
    <xf numFmtId="37" fontId="6" fillId="0" borderId="2" xfId="0" applyFont="1" applyBorder="1" applyAlignment="1" applyProtection="1">
      <alignment/>
      <protection locked="0"/>
    </xf>
    <xf numFmtId="37" fontId="1" fillId="4" borderId="1" xfId="0" applyFont="1" applyFill="1" applyBorder="1" applyAlignment="1">
      <alignment/>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5" fillId="4" borderId="4" xfId="0" applyFont="1" applyFill="1" applyBorder="1" applyAlignment="1">
      <alignment/>
    </xf>
    <xf numFmtId="172" fontId="1" fillId="0" borderId="0" xfId="0" applyNumberFormat="1" applyFont="1" applyAlignment="1" applyProtection="1">
      <alignment/>
      <protection/>
    </xf>
    <xf numFmtId="37" fontId="1" fillId="3" borderId="0" xfId="0" applyFont="1" applyFill="1" applyAlignment="1" applyProtection="1">
      <alignment/>
      <protection/>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0" fontId="1" fillId="3" borderId="3" xfId="0" applyNumberFormat="1" applyFont="1" applyFill="1" applyBorder="1" applyAlignment="1" applyProtection="1">
      <alignment horizontal="centerContinuous"/>
      <protection/>
    </xf>
    <xf numFmtId="37" fontId="1" fillId="3" borderId="3" xfId="0" applyFont="1" applyFill="1" applyBorder="1" applyAlignment="1" applyProtection="1">
      <alignment horizontal="right"/>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5" fillId="3" borderId="5" xfId="0" applyFont="1" applyFill="1" applyBorder="1" applyAlignment="1" applyProtection="1">
      <alignment/>
      <protection/>
    </xf>
    <xf numFmtId="37" fontId="1" fillId="3" borderId="5" xfId="0" applyFont="1" applyFill="1" applyBorder="1" applyAlignment="1" applyProtection="1">
      <alignment/>
      <protection/>
    </xf>
    <xf numFmtId="37" fontId="1" fillId="3"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4" borderId="9" xfId="0" applyFont="1" applyFill="1" applyBorder="1" applyAlignment="1" applyProtection="1">
      <alignment horizontal="centerContinuous"/>
      <protection/>
    </xf>
    <xf numFmtId="37" fontId="5" fillId="4" borderId="2"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5" fillId="4" borderId="11" xfId="0" applyFont="1" applyFill="1" applyBorder="1" applyAlignment="1" applyProtection="1">
      <alignment horizontal="centerContinuous"/>
      <protection/>
    </xf>
    <xf numFmtId="37" fontId="5" fillId="4" borderId="5" xfId="0" applyFont="1" applyFill="1" applyBorder="1" applyAlignment="1" applyProtection="1">
      <alignment horizontal="centerContinuous"/>
      <protection/>
    </xf>
    <xf numFmtId="37" fontId="5" fillId="4" borderId="6" xfId="0" applyFont="1" applyFill="1" applyBorder="1" applyAlignment="1" applyProtection="1">
      <alignment horizontal="centerContinuous"/>
      <protection/>
    </xf>
    <xf numFmtId="37" fontId="5" fillId="0" borderId="12" xfId="0" applyFont="1" applyBorder="1" applyAlignment="1">
      <alignment/>
    </xf>
    <xf numFmtId="37" fontId="5" fillId="3" borderId="13" xfId="0" applyFont="1" applyFill="1" applyBorder="1" applyAlignment="1" applyProtection="1">
      <alignment/>
      <protection/>
    </xf>
    <xf numFmtId="37" fontId="5" fillId="3" borderId="1" xfId="0" applyFont="1" applyFill="1" applyBorder="1" applyAlignment="1" applyProtection="1">
      <alignment/>
      <protection/>
    </xf>
    <xf numFmtId="37" fontId="5" fillId="3" borderId="8" xfId="0" applyFont="1" applyFill="1" applyBorder="1" applyAlignment="1" applyProtection="1">
      <alignment horizontal="center"/>
      <protection/>
    </xf>
    <xf numFmtId="37" fontId="5" fillId="3" borderId="8" xfId="0" applyFont="1" applyFill="1" applyBorder="1" applyAlignment="1" applyProtection="1">
      <alignment horizontal="centerContinuous"/>
      <protection/>
    </xf>
    <xf numFmtId="37" fontId="5" fillId="3" borderId="8" xfId="0" applyFont="1" applyFill="1" applyBorder="1" applyAlignment="1" applyProtection="1">
      <alignment/>
      <protection/>
    </xf>
    <xf numFmtId="37" fontId="5" fillId="0" borderId="10" xfId="0" applyFont="1" applyBorder="1" applyAlignment="1" applyProtection="1">
      <alignment horizontal="centerContinuous"/>
      <protection/>
    </xf>
    <xf numFmtId="37" fontId="0" fillId="0" borderId="0" xfId="0" applyFont="1" applyAlignment="1" applyProtection="1">
      <alignment/>
      <protection/>
    </xf>
    <xf numFmtId="37" fontId="1" fillId="3" borderId="0" xfId="0" applyFont="1" applyFill="1" applyAlignment="1">
      <alignment/>
    </xf>
    <xf numFmtId="37" fontId="1" fillId="3" borderId="3" xfId="0" applyFont="1" applyFill="1" applyBorder="1" applyAlignment="1">
      <alignment horizontal="centerContinuous"/>
    </xf>
    <xf numFmtId="37" fontId="1" fillId="3" borderId="3" xfId="0" applyFont="1" applyFill="1" applyBorder="1" applyAlignment="1">
      <alignment/>
    </xf>
    <xf numFmtId="37" fontId="1" fillId="3" borderId="3" xfId="0" applyFont="1" applyFill="1" applyBorder="1" applyAlignment="1">
      <alignment horizontal="right"/>
    </xf>
    <xf numFmtId="37" fontId="1" fillId="3" borderId="2" xfId="0" applyFont="1" applyFill="1" applyBorder="1" applyAlignment="1">
      <alignment horizontal="centerContinuous"/>
    </xf>
    <xf numFmtId="37" fontId="1" fillId="3" borderId="2" xfId="0" applyFont="1" applyFill="1" applyBorder="1" applyAlignment="1">
      <alignment/>
    </xf>
    <xf numFmtId="37" fontId="1" fillId="3" borderId="2" xfId="0" applyFont="1" applyFill="1" applyBorder="1" applyAlignment="1">
      <alignment/>
    </xf>
    <xf numFmtId="37" fontId="1" fillId="4" borderId="14" xfId="0" applyFont="1" applyFill="1" applyBorder="1" applyAlignment="1">
      <alignment/>
    </xf>
    <xf numFmtId="37" fontId="5" fillId="4" borderId="3" xfId="0" applyFont="1" applyFill="1" applyBorder="1" applyAlignment="1">
      <alignment horizontal="centerContinuous"/>
    </xf>
    <xf numFmtId="37" fontId="5" fillId="4" borderId="13" xfId="0" applyFont="1" applyFill="1" applyBorder="1" applyAlignment="1">
      <alignment horizontal="centerContinuous"/>
    </xf>
    <xf numFmtId="37" fontId="5" fillId="4" borderId="14" xfId="0" applyFont="1" applyFill="1" applyBorder="1" applyAlignment="1">
      <alignment horizontal="centerContinuous"/>
    </xf>
    <xf numFmtId="37" fontId="5" fillId="4" borderId="9" xfId="0" applyFont="1" applyFill="1" applyBorder="1" applyAlignment="1">
      <alignment horizontal="centerContinuous"/>
    </xf>
    <xf numFmtId="37" fontId="5" fillId="4" borderId="2" xfId="0" applyFont="1" applyFill="1" applyBorder="1" applyAlignment="1">
      <alignment horizontal="centerContinuous"/>
    </xf>
    <xf numFmtId="37" fontId="5" fillId="4" borderId="10" xfId="0" applyFont="1" applyFill="1" applyBorder="1" applyAlignment="1">
      <alignment horizontal="centerContinuous"/>
    </xf>
    <xf numFmtId="37" fontId="5" fillId="3" borderId="1" xfId="0" applyFont="1" applyFill="1" applyBorder="1" applyAlignment="1">
      <alignment horizontal="centerContinuous"/>
    </xf>
    <xf numFmtId="37" fontId="5" fillId="3" borderId="8" xfId="0" applyFont="1" applyFill="1" applyBorder="1" applyAlignment="1">
      <alignment horizontal="centerContinuous"/>
    </xf>
    <xf numFmtId="37" fontId="5" fillId="3" borderId="8" xfId="0" applyFont="1" applyFill="1" applyBorder="1" applyAlignment="1">
      <alignment/>
    </xf>
    <xf numFmtId="37" fontId="5" fillId="0" borderId="15"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3" borderId="0" xfId="0" applyFont="1" applyFill="1" applyAlignment="1">
      <alignment horizontal="center"/>
    </xf>
    <xf numFmtId="172" fontId="1" fillId="0" borderId="0" xfId="0" applyNumberFormat="1" applyFont="1" applyAlignment="1" applyProtection="1">
      <alignment/>
      <protection/>
    </xf>
    <xf numFmtId="37" fontId="1" fillId="3" borderId="0" xfId="0" applyFont="1" applyFill="1" applyAlignment="1" applyProtection="1">
      <alignment/>
      <protection/>
    </xf>
    <xf numFmtId="37" fontId="1" fillId="0" borderId="0" xfId="0" applyFont="1" applyAlignment="1">
      <alignment/>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1" fillId="3"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1" xfId="0" applyFont="1" applyFill="1" applyBorder="1" applyAlignment="1" applyProtection="1">
      <alignment horizontal="centerContinuous"/>
      <protection/>
    </xf>
    <xf numFmtId="37" fontId="5" fillId="0" borderId="15" xfId="0" applyFont="1" applyBorder="1" applyAlignment="1" applyProtection="1">
      <alignment horizontal="centerContinuous"/>
      <protection/>
    </xf>
    <xf numFmtId="174" fontId="1" fillId="0" borderId="0" xfId="20" applyNumberFormat="1" applyFont="1" applyAlignment="1">
      <alignment/>
    </xf>
    <xf numFmtId="174" fontId="5" fillId="4" borderId="4"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5" xfId="0" applyNumberFormat="1" applyFont="1" applyBorder="1" applyAlignment="1" applyProtection="1">
      <alignment/>
      <protection/>
    </xf>
    <xf numFmtId="37" fontId="1" fillId="0" borderId="5" xfId="0" applyFont="1" applyBorder="1" applyAlignment="1">
      <alignment horizontal="centerContinuous"/>
    </xf>
    <xf numFmtId="37" fontId="1" fillId="0" borderId="5"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1" fillId="5" borderId="3" xfId="0" applyFont="1" applyFill="1" applyBorder="1" applyAlignment="1">
      <alignment horizontal="centerContinuous"/>
    </xf>
    <xf numFmtId="37" fontId="1" fillId="5" borderId="13"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5"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5" xfId="0" applyFont="1" applyBorder="1" applyAlignment="1">
      <alignment horizontal="centerContinuous"/>
    </xf>
    <xf numFmtId="37" fontId="1" fillId="3" borderId="5" xfId="0" applyFont="1" applyFill="1" applyBorder="1" applyAlignment="1">
      <alignment horizontal="centerContinuous"/>
    </xf>
    <xf numFmtId="37" fontId="1" fillId="3" borderId="6" xfId="0" applyFont="1" applyFill="1" applyBorder="1" applyAlignment="1">
      <alignment horizontal="centerContinuous"/>
    </xf>
    <xf numFmtId="37" fontId="1" fillId="0" borderId="0" xfId="0" applyFont="1" applyAlignment="1">
      <alignment horizontal="centerContinuous"/>
    </xf>
    <xf numFmtId="37" fontId="1" fillId="4" borderId="3" xfId="0" applyFont="1" applyFill="1" applyBorder="1" applyAlignment="1">
      <alignment horizontal="centerContinuous"/>
    </xf>
    <xf numFmtId="37" fontId="1" fillId="4"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171" fontId="1" fillId="0" borderId="0" xfId="16" applyFont="1" applyAlignment="1">
      <alignment/>
    </xf>
    <xf numFmtId="37" fontId="1" fillId="0" borderId="0" xfId="0" applyFont="1" applyAlignment="1" quotePrefix="1">
      <alignment/>
    </xf>
    <xf numFmtId="37" fontId="1" fillId="5" borderId="2" xfId="0" applyFont="1" applyFill="1" applyBorder="1" applyAlignment="1">
      <alignment horizontal="centerContinuous"/>
    </xf>
    <xf numFmtId="37" fontId="1" fillId="5" borderId="10" xfId="0" applyFont="1" applyFill="1" applyBorder="1" applyAlignment="1">
      <alignment horizontal="centerContinuous"/>
    </xf>
    <xf numFmtId="37" fontId="1" fillId="0" borderId="2" xfId="0" applyFont="1" applyBorder="1" applyAlignment="1">
      <alignment horizontal="centerContinuous"/>
    </xf>
    <xf numFmtId="37" fontId="1" fillId="0" borderId="10" xfId="0" applyFont="1" applyBorder="1" applyAlignment="1">
      <alignment horizontal="centerContinuous"/>
    </xf>
    <xf numFmtId="37" fontId="1" fillId="3" borderId="0" xfId="0" applyFont="1" applyFill="1" applyAlignment="1">
      <alignment/>
    </xf>
    <xf numFmtId="37" fontId="5" fillId="4" borderId="12" xfId="0" applyFont="1" applyFill="1" applyBorder="1" applyAlignment="1">
      <alignment horizontal="centerContinuous"/>
    </xf>
    <xf numFmtId="37" fontId="5" fillId="4" borderId="12" xfId="0" applyFont="1" applyFill="1" applyBorder="1" applyAlignment="1">
      <alignment horizontal="center"/>
    </xf>
    <xf numFmtId="37" fontId="5" fillId="4" borderId="1" xfId="0" applyFont="1" applyFill="1" applyBorder="1" applyAlignment="1">
      <alignment horizontal="centerContinuous"/>
    </xf>
    <xf numFmtId="37" fontId="5" fillId="4" borderId="1" xfId="0" applyFont="1" applyFill="1" applyBorder="1" applyAlignment="1">
      <alignment horizontal="center"/>
    </xf>
    <xf numFmtId="37" fontId="5" fillId="4" borderId="15"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37" fontId="1" fillId="0" borderId="0" xfId="0" applyNumberFormat="1" applyFont="1" applyAlignment="1" applyProtection="1">
      <alignment/>
      <protection/>
    </xf>
    <xf numFmtId="37" fontId="1" fillId="3" borderId="0" xfId="0" applyFont="1" applyFill="1" applyAlignment="1">
      <alignment horizontal="centerContinuous"/>
    </xf>
    <xf numFmtId="37" fontId="5" fillId="3" borderId="11" xfId="0" applyFont="1" applyFill="1" applyBorder="1" applyAlignment="1">
      <alignment horizontal="centerContinuous"/>
    </xf>
    <xf numFmtId="37" fontId="5" fillId="3" borderId="5" xfId="0" applyFont="1" applyFill="1" applyBorder="1" applyAlignment="1">
      <alignment horizontal="centerContinuous"/>
    </xf>
    <xf numFmtId="37" fontId="5" fillId="3" borderId="6" xfId="0" applyFont="1" applyFill="1" applyBorder="1" applyAlignment="1">
      <alignment horizontal="centerContinuous"/>
    </xf>
    <xf numFmtId="37" fontId="5" fillId="4" borderId="12" xfId="0" applyNumberFormat="1" applyFont="1" applyFill="1" applyBorder="1" applyAlignment="1" applyProtection="1">
      <alignment horizontal="centerContinuous"/>
      <protection/>
    </xf>
    <xf numFmtId="37" fontId="5" fillId="4" borderId="12" xfId="0" applyNumberFormat="1" applyFont="1" applyFill="1" applyBorder="1" applyAlignment="1" applyProtection="1">
      <alignment horizontal="center"/>
      <protection/>
    </xf>
    <xf numFmtId="37" fontId="5" fillId="4" borderId="12" xfId="0" applyFont="1" applyFill="1" applyBorder="1" applyAlignment="1">
      <alignment/>
    </xf>
    <xf numFmtId="37" fontId="5" fillId="4" borderId="1" xfId="0" applyNumberFormat="1" applyFont="1" applyFill="1" applyBorder="1" applyAlignment="1" applyProtection="1">
      <alignment horizontal="centerContinuous"/>
      <protection/>
    </xf>
    <xf numFmtId="37" fontId="5" fillId="4" borderId="1" xfId="0" applyNumberFormat="1" applyFont="1" applyFill="1" applyBorder="1" applyAlignment="1" applyProtection="1">
      <alignment/>
      <protection/>
    </xf>
    <xf numFmtId="37" fontId="5" fillId="4" borderId="1" xfId="0" applyFont="1" applyFill="1" applyBorder="1" applyAlignment="1">
      <alignment/>
    </xf>
    <xf numFmtId="37" fontId="5" fillId="4" borderId="15"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37" fontId="5" fillId="4" borderId="1" xfId="0" applyNumberFormat="1" applyFont="1" applyFill="1" applyBorder="1" applyAlignment="1" applyProtection="1">
      <alignment horizontal="center"/>
      <protection/>
    </xf>
    <xf numFmtId="37" fontId="1" fillId="0" borderId="0" xfId="0" applyFont="1" applyAlignment="1">
      <alignment horizontal="centerContinuous"/>
    </xf>
    <xf numFmtId="37" fontId="1" fillId="0" borderId="5" xfId="0" applyFont="1" applyBorder="1" applyAlignment="1">
      <alignment/>
    </xf>
    <xf numFmtId="37" fontId="5" fillId="4" borderId="1" xfId="0" applyFont="1" applyFill="1" applyBorder="1" applyAlignment="1">
      <alignment/>
    </xf>
    <xf numFmtId="37" fontId="5" fillId="4" borderId="7" xfId="0" applyFont="1" applyFill="1" applyBorder="1" applyAlignment="1">
      <alignment horizontal="centerContinuous"/>
    </xf>
    <xf numFmtId="37" fontId="5" fillId="4" borderId="0" xfId="0" applyFont="1" applyFill="1" applyAlignment="1">
      <alignment horizontal="centerContinuous"/>
    </xf>
    <xf numFmtId="37" fontId="5" fillId="4" borderId="8" xfId="0" applyFont="1" applyFill="1" applyBorder="1" applyAlignment="1">
      <alignment horizontal="centerContinuous"/>
    </xf>
    <xf numFmtId="37" fontId="1" fillId="0" borderId="0" xfId="0" applyFont="1" applyBorder="1" applyAlignment="1" quotePrefix="1">
      <alignment horizontal="centerContinuous"/>
    </xf>
    <xf numFmtId="37" fontId="5" fillId="3" borderId="0" xfId="0" applyFont="1" applyFill="1" applyAlignment="1">
      <alignment/>
    </xf>
    <xf numFmtId="37" fontId="1" fillId="0" borderId="0" xfId="0" applyFont="1" applyAlignment="1">
      <alignment wrapText="1"/>
    </xf>
    <xf numFmtId="37" fontId="5" fillId="4" borderId="3" xfId="0" applyFont="1" applyFill="1" applyBorder="1" applyAlignment="1">
      <alignment/>
    </xf>
    <xf numFmtId="37" fontId="5" fillId="4" borderId="0" xfId="0" applyFont="1" applyFill="1" applyAlignment="1">
      <alignment/>
    </xf>
    <xf numFmtId="37" fontId="5" fillId="4" borderId="15" xfId="0" applyFont="1" applyFill="1" applyBorder="1" applyAlignment="1">
      <alignment horizontal="center"/>
    </xf>
    <xf numFmtId="37" fontId="5" fillId="3" borderId="4"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4" borderId="11" xfId="0" applyFont="1" applyFill="1" applyBorder="1" applyAlignment="1">
      <alignment horizontal="centerContinuous"/>
    </xf>
    <xf numFmtId="37" fontId="1" fillId="4" borderId="5" xfId="0" applyFont="1" applyFill="1" applyBorder="1" applyAlignment="1">
      <alignment horizontal="centerContinuous"/>
    </xf>
    <xf numFmtId="37" fontId="1" fillId="4" borderId="6" xfId="0" applyFont="1" applyFill="1" applyBorder="1" applyAlignment="1">
      <alignment/>
    </xf>
    <xf numFmtId="37" fontId="5" fillId="4" borderId="5" xfId="0" applyFont="1" applyFill="1" applyBorder="1" applyAlignment="1">
      <alignment horizontal="centerContinuous"/>
    </xf>
    <xf numFmtId="37" fontId="1" fillId="4" borderId="6" xfId="0" applyFont="1" applyFill="1" applyBorder="1" applyAlignment="1">
      <alignment horizontal="centerContinuous"/>
    </xf>
    <xf numFmtId="37" fontId="5" fillId="0" borderId="14"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3" xfId="0" applyNumberFormat="1" applyFont="1" applyBorder="1" applyAlignment="1" applyProtection="1">
      <alignment horizontal="centerContinuous"/>
      <protection/>
    </xf>
    <xf numFmtId="37" fontId="1" fillId="3" borderId="3" xfId="0" applyFont="1" applyFill="1" applyBorder="1" applyAlignment="1">
      <alignment horizontal="centerContinuous"/>
    </xf>
    <xf numFmtId="37" fontId="1" fillId="0" borderId="16" xfId="0" applyFont="1" applyBorder="1" applyAlignment="1">
      <alignment horizontal="centerContinuous"/>
    </xf>
    <xf numFmtId="172" fontId="1" fillId="0" borderId="2" xfId="0" applyNumberFormat="1" applyFont="1" applyBorder="1" applyAlignment="1" applyProtection="1">
      <alignment horizontal="centerContinuous"/>
      <protection/>
    </xf>
    <xf numFmtId="37" fontId="1" fillId="3" borderId="2" xfId="0" applyFont="1" applyFill="1" applyBorder="1" applyAlignment="1">
      <alignment horizontal="centerContinuous"/>
    </xf>
    <xf numFmtId="37" fontId="1" fillId="0" borderId="17" xfId="0" applyFont="1" applyBorder="1" applyAlignment="1">
      <alignment horizontal="centerContinuous"/>
    </xf>
    <xf numFmtId="37" fontId="1" fillId="4" borderId="14" xfId="0" applyFont="1" applyFill="1" applyBorder="1" applyAlignment="1">
      <alignment/>
    </xf>
    <xf numFmtId="37" fontId="1" fillId="4" borderId="13" xfId="0" applyFont="1" applyFill="1" applyBorder="1" applyAlignment="1">
      <alignment horizontal="centerContinuous"/>
    </xf>
    <xf numFmtId="37" fontId="5" fillId="3" borderId="13" xfId="0" applyFont="1" applyFill="1" applyBorder="1" applyAlignment="1">
      <alignment horizontal="centerContinuous"/>
    </xf>
    <xf numFmtId="37" fontId="5" fillId="3" borderId="12" xfId="0" applyFont="1" applyFill="1" applyBorder="1" applyAlignment="1">
      <alignment horizontal="centerContinuous"/>
    </xf>
    <xf numFmtId="0" fontId="1" fillId="3" borderId="3" xfId="0" applyNumberFormat="1" applyFont="1" applyFill="1" applyBorder="1" applyAlignment="1">
      <alignment/>
    </xf>
    <xf numFmtId="0" fontId="1" fillId="3" borderId="2" xfId="0" applyNumberFormat="1" applyFont="1" applyFill="1" applyBorder="1" applyAlignment="1">
      <alignment/>
    </xf>
    <xf numFmtId="37" fontId="1" fillId="4" borderId="10" xfId="0" applyFont="1" applyFill="1" applyBorder="1" applyAlignment="1">
      <alignment horizontal="centerContinuous"/>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3" borderId="3" xfId="0" applyFont="1" applyFill="1" applyBorder="1" applyAlignment="1">
      <alignment/>
    </xf>
    <xf numFmtId="37" fontId="1" fillId="3" borderId="2" xfId="0" applyFont="1" applyFill="1" applyBorder="1" applyAlignment="1">
      <alignment/>
    </xf>
    <xf numFmtId="37" fontId="1" fillId="4" borderId="2" xfId="0" applyFont="1" applyFill="1" applyBorder="1" applyAlignment="1">
      <alignment horizontal="centerContinuous"/>
    </xf>
    <xf numFmtId="37" fontId="1" fillId="3" borderId="3" xfId="0" applyFont="1" applyFill="1" applyBorder="1" applyAlignment="1">
      <alignment horizontal="right"/>
    </xf>
    <xf numFmtId="37" fontId="1" fillId="3" borderId="2" xfId="0" applyFont="1" applyFill="1" applyBorder="1" applyAlignment="1">
      <alignment/>
    </xf>
    <xf numFmtId="37" fontId="5" fillId="3" borderId="5" xfId="0" applyFont="1" applyFill="1" applyBorder="1" applyAlignment="1">
      <alignment/>
    </xf>
    <xf numFmtId="37" fontId="1" fillId="3" borderId="5" xfId="0" applyFont="1" applyFill="1" applyBorder="1" applyAlignment="1">
      <alignment/>
    </xf>
    <xf numFmtId="37" fontId="1" fillId="3" borderId="6" xfId="0" applyFont="1" applyFill="1" applyBorder="1" applyAlignment="1">
      <alignment/>
    </xf>
    <xf numFmtId="37" fontId="5" fillId="0" borderId="4" xfId="0" applyFont="1" applyBorder="1" applyAlignment="1">
      <alignment horizontal="centerContinuous"/>
    </xf>
    <xf numFmtId="37" fontId="5" fillId="4" borderId="14" xfId="0" applyFont="1" applyFill="1" applyBorder="1" applyAlignment="1">
      <alignment/>
    </xf>
    <xf numFmtId="174" fontId="1" fillId="0" borderId="0" xfId="0" applyNumberFormat="1" applyFont="1" applyAlignment="1" applyProtection="1">
      <alignment/>
      <protection/>
    </xf>
    <xf numFmtId="37" fontId="5" fillId="3" borderId="11" xfId="0" applyFont="1" applyFill="1" applyBorder="1" applyAlignment="1">
      <alignment horizontal="left"/>
    </xf>
    <xf numFmtId="37" fontId="5" fillId="3" borderId="1" xfId="0" applyFont="1" applyFill="1" applyBorder="1" applyAlignment="1">
      <alignment/>
    </xf>
    <xf numFmtId="37" fontId="5" fillId="3" borderId="8" xfId="0" applyFont="1" applyFill="1" applyBorder="1" applyAlignment="1">
      <alignment horizontal="center"/>
    </xf>
    <xf numFmtId="37" fontId="5" fillId="3" borderId="0" xfId="0" applyFont="1" applyFill="1" applyAlignment="1">
      <alignment horizontal="centerContinuous"/>
    </xf>
    <xf numFmtId="37" fontId="1" fillId="0" borderId="16" xfId="0" applyFont="1" applyBorder="1" applyAlignment="1">
      <alignment/>
    </xf>
    <xf numFmtId="37" fontId="1" fillId="3" borderId="5" xfId="0" applyFont="1" applyFill="1" applyBorder="1" applyAlignment="1">
      <alignment horizontal="centerContinuous"/>
    </xf>
    <xf numFmtId="37" fontId="1" fillId="3" borderId="6" xfId="0" applyFont="1" applyFill="1" applyBorder="1" applyAlignment="1">
      <alignment horizontal="centerContinuous"/>
    </xf>
    <xf numFmtId="37" fontId="1" fillId="3" borderId="5" xfId="0" applyFont="1" applyFill="1" applyBorder="1" applyAlignment="1">
      <alignment/>
    </xf>
    <xf numFmtId="37" fontId="1" fillId="3" borderId="6" xfId="0" applyFont="1" applyFill="1" applyBorder="1" applyAlignment="1">
      <alignment/>
    </xf>
    <xf numFmtId="37" fontId="1" fillId="3" borderId="0" xfId="0" applyFont="1" applyFill="1" applyAlignment="1">
      <alignment horizontal="centerContinuous"/>
    </xf>
    <xf numFmtId="37" fontId="1" fillId="3" borderId="8" xfId="0" applyFont="1" applyFill="1" applyBorder="1" applyAlignment="1">
      <alignment/>
    </xf>
    <xf numFmtId="37" fontId="5" fillId="4" borderId="14" xfId="0" applyFont="1" applyFill="1" applyBorder="1" applyAlignment="1">
      <alignment horizontal="center"/>
    </xf>
    <xf numFmtId="37" fontId="1" fillId="3" borderId="3"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3" borderId="3" xfId="0" applyFont="1" applyFill="1" applyBorder="1" applyAlignment="1" applyProtection="1">
      <alignment/>
      <protection/>
    </xf>
    <xf numFmtId="37" fontId="1" fillId="3" borderId="2" xfId="0" applyFont="1" applyFill="1" applyBorder="1" applyAlignment="1" applyProtection="1">
      <alignment horizontal="center"/>
      <protection/>
    </xf>
    <xf numFmtId="37" fontId="1" fillId="3" borderId="5" xfId="0" applyFont="1" applyFill="1" applyBorder="1" applyAlignment="1" applyProtection="1">
      <alignment horizontal="centerContinuous"/>
      <protection/>
    </xf>
    <xf numFmtId="37" fontId="5" fillId="3" borderId="18" xfId="0" applyFont="1" applyFill="1" applyBorder="1" applyAlignment="1" applyProtection="1">
      <alignment horizontal="center"/>
      <protection/>
    </xf>
    <xf numFmtId="37" fontId="5" fillId="3" borderId="2"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1" fillId="0" borderId="8" xfId="0" applyFont="1" applyBorder="1" applyAlignment="1" applyProtection="1">
      <alignment/>
      <protection/>
    </xf>
    <xf numFmtId="37" fontId="5" fillId="0" borderId="18"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19" xfId="0" applyFont="1" applyBorder="1" applyAlignment="1" applyProtection="1">
      <alignment horizontal="centerContinuous"/>
      <protection/>
    </xf>
    <xf numFmtId="37" fontId="5" fillId="0" borderId="15" xfId="0" applyFont="1" applyBorder="1" applyAlignment="1" applyProtection="1">
      <alignment horizontal="center"/>
      <protection/>
    </xf>
    <xf numFmtId="37" fontId="6" fillId="3" borderId="2" xfId="0" applyFont="1" applyFill="1" applyBorder="1" applyAlignment="1">
      <alignment horizontal="centerContinuous"/>
    </xf>
    <xf numFmtId="172" fontId="1" fillId="0" borderId="2" xfId="0" applyNumberFormat="1" applyFont="1" applyBorder="1" applyAlignment="1" applyProtection="1">
      <alignment horizontal="centerContinuous"/>
      <protection/>
    </xf>
    <xf numFmtId="37" fontId="5" fillId="3" borderId="15" xfId="0" applyFont="1" applyFill="1" applyBorder="1" applyAlignment="1">
      <alignment horizontal="centerContinuous"/>
    </xf>
    <xf numFmtId="37" fontId="1" fillId="3" borderId="16" xfId="0" applyFont="1" applyFill="1" applyBorder="1" applyAlignment="1">
      <alignment/>
    </xf>
    <xf numFmtId="37" fontId="1" fillId="3" borderId="16" xfId="0" applyFont="1" applyFill="1" applyBorder="1" applyAlignment="1">
      <alignment horizontal="centerContinuous"/>
    </xf>
    <xf numFmtId="37" fontId="1" fillId="3" borderId="17" xfId="0" applyFont="1" applyFill="1" applyBorder="1" applyAlignment="1">
      <alignment horizontal="centerContinuous"/>
    </xf>
    <xf numFmtId="37" fontId="1" fillId="3" borderId="0" xfId="0" applyFont="1" applyFill="1" applyBorder="1" applyAlignment="1">
      <alignment/>
    </xf>
    <xf numFmtId="37" fontId="1" fillId="0" borderId="0" xfId="0" applyNumberFormat="1" applyFont="1" applyBorder="1" applyAlignment="1" applyProtection="1">
      <alignment/>
      <protection/>
    </xf>
    <xf numFmtId="37" fontId="5" fillId="4" borderId="6" xfId="0" applyFont="1" applyFill="1" applyBorder="1" applyAlignment="1">
      <alignment horizontal="centerContinuous"/>
    </xf>
    <xf numFmtId="37" fontId="5" fillId="3" borderId="13" xfId="0" applyFont="1" applyFill="1" applyBorder="1" applyAlignment="1">
      <alignment horizontal="right"/>
    </xf>
    <xf numFmtId="37" fontId="5" fillId="3"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3" borderId="2" xfId="0" applyFont="1" applyFill="1" applyBorder="1" applyAlignment="1" applyProtection="1" quotePrefix="1">
      <alignment horizontal="centerContinuous"/>
      <protection/>
    </xf>
    <xf numFmtId="182" fontId="1" fillId="3"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5"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2" xfId="0" applyFont="1" applyBorder="1" applyAlignment="1" applyProtection="1">
      <alignment horizontal="centerContinuous"/>
      <protection/>
    </xf>
    <xf numFmtId="37" fontId="5" fillId="0" borderId="20" xfId="0" applyFont="1" applyBorder="1" applyAlignment="1" applyProtection="1">
      <alignment horizontal="centerContinuous"/>
      <protection/>
    </xf>
    <xf numFmtId="37" fontId="1" fillId="0" borderId="5" xfId="0" applyFont="1" applyBorder="1" applyAlignment="1">
      <alignment/>
    </xf>
    <xf numFmtId="37" fontId="5" fillId="3"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4" borderId="13" xfId="0" applyFont="1" applyFill="1" applyBorder="1" applyAlignment="1">
      <alignment horizontal="center"/>
    </xf>
    <xf numFmtId="37" fontId="5" fillId="4" borderId="3" xfId="0" applyFont="1" applyFill="1" applyBorder="1" applyAlignment="1">
      <alignment horizontal="center"/>
    </xf>
    <xf numFmtId="37" fontId="5" fillId="0" borderId="0" xfId="0" applyFont="1" applyAlignment="1">
      <alignment wrapText="1"/>
    </xf>
    <xf numFmtId="37" fontId="1" fillId="0" borderId="7" xfId="0" applyNumberFormat="1" applyFont="1" applyBorder="1" applyAlignment="1" applyProtection="1">
      <alignment/>
      <protection/>
    </xf>
    <xf numFmtId="37" fontId="1" fillId="3" borderId="3" xfId="0" applyFont="1" applyFill="1" applyBorder="1" applyAlignment="1">
      <alignment horizontal="center"/>
    </xf>
    <xf numFmtId="37" fontId="5" fillId="3" borderId="0" xfId="0" applyFont="1" applyFill="1" applyAlignment="1">
      <alignment/>
    </xf>
    <xf numFmtId="37" fontId="5" fillId="4" borderId="4" xfId="0" applyFont="1" applyFill="1" applyBorder="1" applyAlignment="1">
      <alignment horizontal="center"/>
    </xf>
    <xf numFmtId="37" fontId="5" fillId="3" borderId="12" xfId="0" applyFont="1" applyFill="1" applyBorder="1" applyAlignment="1">
      <alignment horizontal="center"/>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3" borderId="0" xfId="0" applyFont="1" applyFill="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171" fontId="0" fillId="0" borderId="0" xfId="16" applyFont="1" applyAlignment="1">
      <alignment horizontal="left"/>
    </xf>
    <xf numFmtId="37" fontId="0" fillId="0" borderId="0" xfId="0" applyNumberFormat="1" applyFont="1" applyAlignment="1" applyProtection="1">
      <alignment horizontal="right"/>
      <protection/>
    </xf>
    <xf numFmtId="37" fontId="1" fillId="0" borderId="2" xfId="0" applyFont="1" applyBorder="1" applyAlignment="1">
      <alignment/>
    </xf>
    <xf numFmtId="37" fontId="13" fillId="3" borderId="0" xfId="0" applyFont="1" applyFill="1" applyAlignment="1">
      <alignment horizontal="centerContinuous"/>
    </xf>
    <xf numFmtId="37" fontId="13" fillId="0" borderId="0" xfId="0" applyFont="1" applyAlignment="1">
      <alignment horizontal="centerContinuous"/>
    </xf>
    <xf numFmtId="174" fontId="1" fillId="3" borderId="21" xfId="0" applyNumberFormat="1" applyFont="1" applyFill="1" applyBorder="1" applyAlignment="1" applyProtection="1">
      <alignment/>
      <protection/>
    </xf>
    <xf numFmtId="37" fontId="1" fillId="0" borderId="21" xfId="0" applyNumberFormat="1" applyFont="1" applyBorder="1" applyAlignment="1" applyProtection="1">
      <alignment/>
      <protection/>
    </xf>
    <xf numFmtId="174" fontId="1" fillId="0" borderId="21" xfId="0" applyNumberFormat="1" applyFont="1" applyBorder="1" applyAlignment="1" applyProtection="1">
      <alignment/>
      <protection/>
    </xf>
    <xf numFmtId="37" fontId="1" fillId="0" borderId="21" xfId="0" applyFont="1" applyBorder="1" applyAlignment="1">
      <alignment/>
    </xf>
    <xf numFmtId="37" fontId="16" fillId="3" borderId="11" xfId="0" applyFont="1" applyFill="1" applyBorder="1" applyAlignment="1" applyProtection="1">
      <alignment/>
      <protection/>
    </xf>
    <xf numFmtId="0" fontId="5" fillId="3" borderId="5" xfId="0" applyNumberFormat="1" applyFont="1" applyFill="1" applyBorder="1" applyAlignment="1" applyProtection="1">
      <alignment horizontal="centerContinuous"/>
      <protection/>
    </xf>
    <xf numFmtId="0" fontId="1" fillId="3" borderId="6" xfId="0" applyNumberFormat="1" applyFont="1" applyFill="1" applyBorder="1" applyAlignment="1" applyProtection="1">
      <alignment horizontal="centerContinuous"/>
      <protection/>
    </xf>
    <xf numFmtId="37" fontId="16" fillId="3" borderId="11" xfId="0" applyFont="1" applyFill="1" applyBorder="1" applyAlignment="1">
      <alignment horizontal="left"/>
    </xf>
    <xf numFmtId="37" fontId="16" fillId="3" borderId="11" xfId="0" applyFont="1" applyFill="1" applyBorder="1" applyAlignment="1">
      <alignment/>
    </xf>
    <xf numFmtId="0" fontId="1" fillId="3" borderId="5" xfId="0" applyNumberFormat="1" applyFont="1" applyFill="1" applyBorder="1" applyAlignment="1">
      <alignment horizontal="centerContinuous"/>
    </xf>
    <xf numFmtId="0" fontId="1" fillId="3" borderId="6" xfId="0" applyNumberFormat="1" applyFont="1" applyFill="1" applyBorder="1" applyAlignment="1">
      <alignment horizontal="centerContinuous"/>
    </xf>
    <xf numFmtId="37" fontId="5" fillId="3" borderId="5" xfId="0" applyFont="1" applyFill="1" applyBorder="1" applyAlignment="1">
      <alignment/>
    </xf>
    <xf numFmtId="37" fontId="1" fillId="3" borderId="5" xfId="0" applyFont="1" applyFill="1" applyBorder="1" applyAlignment="1">
      <alignment/>
    </xf>
    <xf numFmtId="37" fontId="1" fillId="3" borderId="6" xfId="0" applyFont="1" applyFill="1" applyBorder="1" applyAlignment="1">
      <alignment/>
    </xf>
    <xf numFmtId="37" fontId="1" fillId="0" borderId="5" xfId="0" applyFont="1" applyBorder="1" applyAlignment="1">
      <alignment horizontal="left"/>
    </xf>
    <xf numFmtId="37" fontId="0" fillId="0" borderId="0" xfId="0" applyFont="1" applyAlignment="1" quotePrefix="1">
      <alignment horizontal="left"/>
    </xf>
    <xf numFmtId="174" fontId="1" fillId="4" borderId="1" xfId="20" applyNumberFormat="1" applyFont="1" applyFill="1" applyBorder="1" applyAlignment="1">
      <alignment/>
    </xf>
    <xf numFmtId="174" fontId="1" fillId="0" borderId="1" xfId="20" applyNumberFormat="1" applyFont="1" applyBorder="1" applyAlignment="1">
      <alignment/>
    </xf>
    <xf numFmtId="37" fontId="16" fillId="3" borderId="11" xfId="0" applyFont="1" applyFill="1" applyBorder="1" applyAlignment="1">
      <alignment/>
    </xf>
    <xf numFmtId="39" fontId="1" fillId="4"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4" borderId="4" xfId="0" applyNumberFormat="1" applyFont="1" applyFill="1" applyBorder="1" applyAlignment="1">
      <alignment/>
    </xf>
    <xf numFmtId="37" fontId="1" fillId="0" borderId="0" xfId="0" applyFont="1" applyAlignment="1" quotePrefix="1">
      <alignment horizontal="left"/>
    </xf>
    <xf numFmtId="39" fontId="1" fillId="0" borderId="1" xfId="0" applyNumberFormat="1" applyFont="1" applyBorder="1" applyAlignment="1">
      <alignment horizontal="right"/>
    </xf>
    <xf numFmtId="39" fontId="1" fillId="4" borderId="1" xfId="0" applyNumberFormat="1" applyFont="1" applyFill="1" applyBorder="1" applyAlignment="1">
      <alignment horizontal="right"/>
    </xf>
    <xf numFmtId="37" fontId="5" fillId="3" borderId="1" xfId="0" applyFont="1" applyFill="1" applyBorder="1" applyAlignment="1">
      <alignment horizontal="center"/>
    </xf>
    <xf numFmtId="37" fontId="5" fillId="6" borderId="1" xfId="0" applyFont="1" applyFill="1" applyBorder="1" applyAlignment="1">
      <alignment horizontal="center"/>
    </xf>
    <xf numFmtId="37" fontId="5" fillId="5" borderId="4" xfId="0" applyFont="1" applyFill="1" applyBorder="1" applyAlignment="1" applyProtection="1">
      <alignment horizontal="center"/>
      <protection/>
    </xf>
    <xf numFmtId="37" fontId="5" fillId="5" borderId="14" xfId="0" applyFont="1" applyFill="1" applyBorder="1" applyAlignment="1" applyProtection="1">
      <alignment horizontal="centerContinuous"/>
      <protection/>
    </xf>
    <xf numFmtId="37" fontId="1" fillId="5" borderId="3"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5" fillId="5" borderId="22" xfId="0" applyFont="1" applyFill="1" applyBorder="1" applyAlignment="1" applyProtection="1">
      <alignment horizontal="centerContinuous"/>
      <protection/>
    </xf>
    <xf numFmtId="37" fontId="1" fillId="0" borderId="0" xfId="0" applyFont="1" applyAlignment="1">
      <alignment horizontal="center"/>
    </xf>
    <xf numFmtId="37" fontId="5" fillId="5" borderId="3" xfId="0" applyFont="1" applyFill="1" applyBorder="1" applyAlignment="1">
      <alignment horizontal="centerContinuous"/>
    </xf>
    <xf numFmtId="37" fontId="5" fillId="5" borderId="0" xfId="0" applyFont="1" applyFill="1" applyBorder="1" applyAlignment="1">
      <alignment horizontal="centerContinuous"/>
    </xf>
    <xf numFmtId="37" fontId="5" fillId="8" borderId="12" xfId="0" applyFont="1" applyFill="1" applyBorder="1" applyAlignment="1">
      <alignment horizontal="center"/>
    </xf>
    <xf numFmtId="37" fontId="5" fillId="8" borderId="1" xfId="0" applyFont="1" applyFill="1" applyBorder="1" applyAlignment="1">
      <alignment horizontal="center"/>
    </xf>
    <xf numFmtId="37" fontId="5" fillId="8" borderId="15" xfId="0" applyFont="1" applyFill="1" applyBorder="1" applyAlignment="1">
      <alignment horizontal="center"/>
    </xf>
    <xf numFmtId="37" fontId="13" fillId="3" borderId="11" xfId="0" applyFont="1" applyFill="1" applyBorder="1" applyAlignment="1">
      <alignment horizontal="left"/>
    </xf>
    <xf numFmtId="39" fontId="1" fillId="0" borderId="0" xfId="0" applyNumberFormat="1" applyFont="1" applyAlignment="1">
      <alignment/>
    </xf>
    <xf numFmtId="37" fontId="1" fillId="0" borderId="6" xfId="0" applyFont="1" applyBorder="1" applyAlignment="1">
      <alignment/>
    </xf>
    <xf numFmtId="37" fontId="5" fillId="4" borderId="14" xfId="0" applyFont="1" applyFill="1" applyBorder="1" applyAlignment="1">
      <alignment/>
    </xf>
    <xf numFmtId="37" fontId="5" fillId="4" borderId="13" xfId="0" applyFont="1" applyFill="1" applyBorder="1" applyAlignment="1">
      <alignment/>
    </xf>
    <xf numFmtId="37" fontId="17" fillId="0" borderId="7" xfId="0" applyFont="1" applyBorder="1" applyAlignment="1">
      <alignment horizontal="right" textRotation="180"/>
    </xf>
    <xf numFmtId="37" fontId="1" fillId="4" borderId="3" xfId="0" applyFont="1" applyFill="1" applyBorder="1" applyAlignment="1">
      <alignment/>
    </xf>
    <xf numFmtId="191" fontId="1" fillId="4"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5" fillId="4" borderId="4" xfId="0" applyNumberFormat="1" applyFont="1" applyFill="1" applyBorder="1" applyAlignment="1">
      <alignment/>
    </xf>
    <xf numFmtId="195" fontId="1" fillId="0" borderId="0" xfId="0" applyNumberFormat="1" applyFont="1" applyAlignment="1">
      <alignment/>
    </xf>
    <xf numFmtId="37" fontId="5" fillId="0" borderId="23" xfId="0" applyFont="1" applyBorder="1" applyAlignment="1">
      <alignment/>
    </xf>
    <xf numFmtId="37" fontId="5" fillId="0" borderId="24" xfId="0" applyFont="1" applyBorder="1" applyAlignment="1">
      <alignment/>
    </xf>
    <xf numFmtId="37" fontId="1" fillId="0" borderId="17" xfId="0" applyFont="1" applyBorder="1" applyAlignment="1">
      <alignment/>
    </xf>
    <xf numFmtId="0" fontId="5" fillId="3" borderId="13" xfId="0" applyNumberFormat="1" applyFont="1" applyFill="1" applyBorder="1" applyAlignment="1">
      <alignment horizontal="center"/>
    </xf>
    <xf numFmtId="37" fontId="5" fillId="3" borderId="13" xfId="0" applyFont="1" applyFill="1" applyBorder="1" applyAlignment="1">
      <alignment horizontal="center"/>
    </xf>
    <xf numFmtId="0" fontId="5" fillId="3" borderId="8" xfId="0" applyNumberFormat="1" applyFont="1" applyFill="1" applyBorder="1" applyAlignment="1">
      <alignment horizontal="center"/>
    </xf>
    <xf numFmtId="37" fontId="5" fillId="3" borderId="3" xfId="0" applyFont="1" applyFill="1" applyBorder="1" applyAlignment="1">
      <alignment horizontal="center"/>
    </xf>
    <xf numFmtId="37" fontId="5" fillId="3" borderId="15" xfId="0" applyFont="1" applyFill="1" applyBorder="1" applyAlignment="1">
      <alignment horizontal="center" vertical="top"/>
    </xf>
    <xf numFmtId="37" fontId="5" fillId="3" borderId="10" xfId="0" applyFont="1" applyFill="1" applyBorder="1" applyAlignment="1">
      <alignment horizontal="center" vertical="top"/>
    </xf>
    <xf numFmtId="192" fontId="1" fillId="0" borderId="0" xfId="0" applyNumberFormat="1" applyFont="1" applyAlignment="1">
      <alignment vertical="center"/>
    </xf>
    <xf numFmtId="37" fontId="1" fillId="0" borderId="17" xfId="0" applyFont="1" applyBorder="1" applyAlignment="1" applyProtection="1">
      <alignment/>
      <protection/>
    </xf>
    <xf numFmtId="37" fontId="1" fillId="0" borderId="17" xfId="0" applyFont="1" applyBorder="1" applyAlignment="1">
      <alignment/>
    </xf>
    <xf numFmtId="175" fontId="1" fillId="0" borderId="17" xfId="0" applyNumberFormat="1" applyFont="1" applyBorder="1" applyAlignment="1" applyProtection="1">
      <alignment/>
      <protection/>
    </xf>
    <xf numFmtId="37" fontId="1" fillId="3" borderId="17" xfId="0" applyFont="1" applyFill="1" applyBorder="1" applyAlignment="1" applyProtection="1">
      <alignment/>
      <protection/>
    </xf>
    <xf numFmtId="37" fontId="1" fillId="0" borderId="0" xfId="0" applyFont="1" applyBorder="1" applyAlignment="1" quotePrefix="1">
      <alignment horizontal="centerContinuous"/>
    </xf>
    <xf numFmtId="191" fontId="0" fillId="0" borderId="0" xfId="0" applyNumberFormat="1" applyAlignment="1">
      <alignment/>
    </xf>
    <xf numFmtId="37" fontId="1" fillId="3" borderId="3" xfId="0" applyFont="1" applyFill="1" applyBorder="1" applyAlignment="1">
      <alignment horizontal="centerContinuous" vertical="center"/>
    </xf>
    <xf numFmtId="37" fontId="1" fillId="3" borderId="2" xfId="0" applyFont="1" applyFill="1" applyBorder="1" applyAlignment="1">
      <alignment horizontal="centerContinuous" vertical="center"/>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37" fontId="1" fillId="0" borderId="17" xfId="0" applyFont="1" applyBorder="1" applyAlignment="1" applyProtection="1">
      <alignment/>
      <protection/>
    </xf>
    <xf numFmtId="37" fontId="1" fillId="3" borderId="3" xfId="0" applyFont="1" applyFill="1" applyBorder="1" applyAlignment="1">
      <alignment horizontal="right" vertical="center"/>
    </xf>
    <xf numFmtId="37" fontId="5" fillId="4" borderId="11" xfId="0" applyFont="1" applyFill="1" applyBorder="1" applyAlignment="1">
      <alignment horizontal="centerContinuous" vertical="center"/>
    </xf>
    <xf numFmtId="172" fontId="1" fillId="0" borderId="5" xfId="0" applyNumberFormat="1" applyFont="1" applyBorder="1" applyAlignment="1" applyProtection="1">
      <alignment vertical="center"/>
      <protection/>
    </xf>
    <xf numFmtId="37" fontId="1" fillId="0" borderId="5" xfId="0" applyFont="1" applyBorder="1" applyAlignment="1">
      <alignment horizontal="centerContinuous" vertical="center"/>
    </xf>
    <xf numFmtId="37" fontId="1" fillId="0" borderId="5" xfId="0" applyFont="1" applyBorder="1" applyAlignment="1">
      <alignment horizontal="right" vertical="center"/>
    </xf>
    <xf numFmtId="37" fontId="1" fillId="0" borderId="5" xfId="0" applyFont="1" applyBorder="1" applyAlignment="1">
      <alignment vertical="center"/>
    </xf>
    <xf numFmtId="37" fontId="1" fillId="0" borderId="5" xfId="0" applyFont="1" applyBorder="1" applyAlignment="1">
      <alignment horizontal="left" vertical="center"/>
    </xf>
    <xf numFmtId="37" fontId="1" fillId="0" borderId="2" xfId="0" applyFont="1" applyBorder="1" applyAlignment="1">
      <alignment horizontal="centerContinuous" vertical="center"/>
    </xf>
    <xf numFmtId="37" fontId="1" fillId="0" borderId="2" xfId="0" applyFont="1" applyBorder="1" applyAlignment="1">
      <alignment vertical="center"/>
    </xf>
    <xf numFmtId="37" fontId="1" fillId="0" borderId="3" xfId="0" applyFont="1" applyBorder="1" applyAlignment="1">
      <alignment horizontal="centerContinuous"/>
    </xf>
    <xf numFmtId="37" fontId="1" fillId="0" borderId="3" xfId="0" applyFont="1" applyBorder="1" applyAlignment="1">
      <alignment/>
    </xf>
    <xf numFmtId="37" fontId="5" fillId="4" borderId="0" xfId="0" applyFont="1" applyFill="1" applyBorder="1" applyAlignment="1">
      <alignment horizontal="centerContinuous"/>
    </xf>
    <xf numFmtId="37" fontId="1" fillId="0" borderId="3" xfId="0" applyFont="1" applyBorder="1" applyAlignment="1">
      <alignment horizontal="centerContinuous" vertical="center"/>
    </xf>
    <xf numFmtId="37" fontId="1" fillId="0" borderId="3" xfId="0" applyFont="1" applyBorder="1" applyAlignment="1">
      <alignment vertical="center"/>
    </xf>
    <xf numFmtId="37" fontId="1" fillId="0" borderId="3" xfId="0" applyFont="1" applyBorder="1" applyAlignment="1">
      <alignment horizontal="right" vertical="center"/>
    </xf>
    <xf numFmtId="37" fontId="1" fillId="0" borderId="2" xfId="0" applyFont="1" applyBorder="1" applyAlignment="1" quotePrefix="1">
      <alignment horizontal="centerContinuous" vertical="center"/>
    </xf>
    <xf numFmtId="37" fontId="0" fillId="0" borderId="17" xfId="0" applyBorder="1" applyAlignment="1">
      <alignment/>
    </xf>
    <xf numFmtId="37" fontId="1" fillId="0" borderId="25" xfId="0" applyFont="1" applyBorder="1" applyAlignment="1">
      <alignment horizontal="centerContinuous" vertical="center"/>
    </xf>
    <xf numFmtId="37" fontId="6" fillId="0" borderId="5" xfId="0" applyFont="1" applyBorder="1" applyAlignment="1" applyProtection="1">
      <alignment horizontal="centerContinuous" vertical="center"/>
      <protection locked="0"/>
    </xf>
    <xf numFmtId="37" fontId="3" fillId="0" borderId="5" xfId="0" applyFont="1" applyBorder="1" applyAlignment="1" applyProtection="1">
      <alignment horizontal="centerContinuous" vertical="center"/>
      <protection locked="0"/>
    </xf>
    <xf numFmtId="37" fontId="6" fillId="0" borderId="5" xfId="0" applyFont="1" applyBorder="1" applyAlignment="1" applyProtection="1">
      <alignment vertical="center"/>
      <protection locked="0"/>
    </xf>
    <xf numFmtId="37" fontId="5" fillId="5" borderId="14" xfId="0" applyFont="1" applyFill="1" applyBorder="1" applyAlignment="1">
      <alignment horizontal="centerContinuous" vertical="center"/>
    </xf>
    <xf numFmtId="37" fontId="5" fillId="5" borderId="7" xfId="0" applyFont="1" applyFill="1" applyBorder="1" applyAlignment="1">
      <alignment horizontal="centerContinuous" vertical="center"/>
    </xf>
    <xf numFmtId="37" fontId="5" fillId="0" borderId="11" xfId="0" applyFont="1" applyBorder="1" applyAlignment="1">
      <alignment horizontal="centerContinuous" vertical="center"/>
    </xf>
    <xf numFmtId="37" fontId="5" fillId="3" borderId="3" xfId="0" applyFont="1" applyFill="1" applyBorder="1" applyAlignment="1">
      <alignment horizontal="centerContinuous" vertical="center"/>
    </xf>
    <xf numFmtId="191" fontId="1" fillId="0" borderId="1" xfId="0" applyNumberFormat="1" applyFont="1" applyBorder="1" applyAlignment="1">
      <alignment vertical="center"/>
    </xf>
    <xf numFmtId="191" fontId="1" fillId="4" borderId="1" xfId="0" applyNumberFormat="1" applyFont="1" applyFill="1" applyBorder="1" applyAlignment="1">
      <alignment vertical="center"/>
    </xf>
    <xf numFmtId="191" fontId="5" fillId="4" borderId="4" xfId="0" applyNumberFormat="1" applyFont="1" applyFill="1" applyBorder="1" applyAlignment="1">
      <alignment vertical="center"/>
    </xf>
    <xf numFmtId="196" fontId="1" fillId="4" borderId="1" xfId="0" applyNumberFormat="1" applyFont="1" applyFill="1" applyBorder="1" applyAlignment="1">
      <alignment vertical="center"/>
    </xf>
    <xf numFmtId="196" fontId="1" fillId="0" borderId="1" xfId="0" applyNumberFormat="1" applyFont="1" applyBorder="1" applyAlignment="1">
      <alignment vertical="center"/>
    </xf>
    <xf numFmtId="196" fontId="1" fillId="0" borderId="0" xfId="0" applyNumberFormat="1" applyFont="1" applyAlignment="1">
      <alignment vertical="center"/>
    </xf>
    <xf numFmtId="196" fontId="5" fillId="4" borderId="4" xfId="0" applyNumberFormat="1" applyFont="1" applyFill="1" applyBorder="1" applyAlignment="1">
      <alignment vertical="center"/>
    </xf>
    <xf numFmtId="196" fontId="1" fillId="4" borderId="8" xfId="0" applyNumberFormat="1" applyFont="1" applyFill="1" applyBorder="1" applyAlignment="1">
      <alignment vertical="center"/>
    </xf>
    <xf numFmtId="196" fontId="1" fillId="0" borderId="8" xfId="0" applyNumberFormat="1" applyFont="1" applyBorder="1" applyAlignment="1">
      <alignment vertical="center"/>
    </xf>
    <xf numFmtId="196" fontId="1" fillId="4" borderId="26" xfId="0" applyNumberFormat="1" applyFont="1" applyFill="1" applyBorder="1" applyAlignment="1">
      <alignment vertical="center"/>
    </xf>
    <xf numFmtId="196" fontId="1" fillId="0" borderId="26" xfId="0" applyNumberFormat="1" applyFont="1" applyBorder="1" applyAlignment="1">
      <alignment vertical="center"/>
    </xf>
    <xf numFmtId="196" fontId="5" fillId="4" borderId="6" xfId="0" applyNumberFormat="1" applyFont="1" applyFill="1" applyBorder="1" applyAlignment="1">
      <alignment vertical="center"/>
    </xf>
    <xf numFmtId="196" fontId="5" fillId="4" borderId="27" xfId="0" applyNumberFormat="1" applyFont="1" applyFill="1" applyBorder="1" applyAlignment="1">
      <alignment vertical="center"/>
    </xf>
    <xf numFmtId="37" fontId="5" fillId="4" borderId="6" xfId="0" applyFont="1" applyFill="1" applyBorder="1" applyAlignment="1">
      <alignment horizontal="centerContinuous" vertical="center"/>
    </xf>
    <xf numFmtId="37" fontId="5" fillId="5" borderId="11" xfId="0" applyFont="1" applyFill="1" applyBorder="1" applyAlignment="1" applyProtection="1">
      <alignment horizontal="centerContinuous" vertical="center"/>
      <protection/>
    </xf>
    <xf numFmtId="37" fontId="5" fillId="0" borderId="7" xfId="0" applyFont="1" applyBorder="1" applyAlignment="1" applyProtection="1">
      <alignment horizontal="center" vertical="center"/>
      <protection/>
    </xf>
    <xf numFmtId="37" fontId="5" fillId="0" borderId="7" xfId="0" applyFont="1" applyBorder="1" applyAlignment="1" applyProtection="1">
      <alignment vertical="center"/>
      <protection/>
    </xf>
    <xf numFmtId="37" fontId="5" fillId="0" borderId="28" xfId="0" applyFont="1" applyBorder="1" applyAlignment="1" applyProtection="1">
      <alignment horizontal="center" vertical="center"/>
      <protection/>
    </xf>
    <xf numFmtId="37" fontId="5" fillId="0" borderId="1" xfId="0" applyFont="1" applyBorder="1" applyAlignment="1" applyProtection="1">
      <alignment horizontal="center" vertical="center"/>
      <protection/>
    </xf>
    <xf numFmtId="37" fontId="5" fillId="0" borderId="9" xfId="0" applyFont="1" applyBorder="1" applyAlignment="1" applyProtection="1">
      <alignment horizontal="center" vertical="center"/>
      <protection/>
    </xf>
    <xf numFmtId="37" fontId="5" fillId="0" borderId="20" xfId="0" applyFont="1" applyBorder="1" applyAlignment="1" applyProtection="1">
      <alignment horizontal="center" vertical="center"/>
      <protection/>
    </xf>
    <xf numFmtId="37" fontId="5" fillId="0" borderId="15" xfId="0" applyFont="1" applyBorder="1" applyAlignment="1" applyProtection="1">
      <alignment horizontal="center" vertical="center"/>
      <protection/>
    </xf>
    <xf numFmtId="49" fontId="5" fillId="4" borderId="4" xfId="16" applyNumberFormat="1" applyFont="1" applyFill="1" applyBorder="1" applyAlignment="1">
      <alignment vertical="center"/>
    </xf>
    <xf numFmtId="49" fontId="5" fillId="0" borderId="23" xfId="0" applyNumberFormat="1" applyFont="1" applyBorder="1" applyAlignment="1">
      <alignment/>
    </xf>
    <xf numFmtId="49" fontId="5" fillId="0" borderId="24" xfId="0" applyNumberFormat="1" applyFont="1" applyBorder="1" applyAlignment="1">
      <alignment/>
    </xf>
    <xf numFmtId="49" fontId="5" fillId="0" borderId="0" xfId="0" applyNumberFormat="1" applyFont="1" applyAlignment="1">
      <alignment/>
    </xf>
    <xf numFmtId="49" fontId="1" fillId="4" borderId="1" xfId="0" applyNumberFormat="1" applyFont="1" applyFill="1" applyBorder="1" applyAlignment="1">
      <alignment vertical="center"/>
    </xf>
    <xf numFmtId="49" fontId="1" fillId="0" borderId="1" xfId="0" applyNumberFormat="1" applyFont="1" applyBorder="1" applyAlignment="1">
      <alignment vertical="center"/>
    </xf>
    <xf numFmtId="49" fontId="1" fillId="0" borderId="0" xfId="0" applyNumberFormat="1" applyFont="1" applyAlignment="1">
      <alignment vertical="center"/>
    </xf>
    <xf numFmtId="49" fontId="1" fillId="0" borderId="1" xfId="16" applyNumberFormat="1" applyFont="1" applyBorder="1" applyAlignment="1">
      <alignment vertical="center"/>
    </xf>
    <xf numFmtId="49" fontId="1" fillId="4" borderId="1" xfId="16" applyNumberFormat="1" applyFont="1" applyFill="1" applyBorder="1" applyAlignment="1">
      <alignment vertical="center"/>
    </xf>
    <xf numFmtId="191" fontId="1" fillId="0" borderId="1" xfId="0" applyNumberFormat="1" applyFont="1" applyBorder="1" applyAlignment="1" applyProtection="1">
      <alignment/>
      <protection/>
    </xf>
    <xf numFmtId="191" fontId="1" fillId="0" borderId="8" xfId="0" applyNumberFormat="1" applyFont="1" applyBorder="1" applyAlignment="1" applyProtection="1">
      <alignment/>
      <protection/>
    </xf>
    <xf numFmtId="191" fontId="5" fillId="0" borderId="4" xfId="0" applyNumberFormat="1" applyFont="1" applyBorder="1" applyAlignment="1" applyProtection="1">
      <alignment/>
      <protection/>
    </xf>
    <xf numFmtId="191" fontId="5" fillId="0" borderId="6" xfId="0" applyNumberFormat="1" applyFont="1" applyBorder="1" applyAlignment="1" applyProtection="1">
      <alignment/>
      <protection/>
    </xf>
    <xf numFmtId="191" fontId="5" fillId="0" borderId="5" xfId="0" applyNumberFormat="1" applyFont="1" applyBorder="1" applyAlignment="1" applyProtection="1">
      <alignment/>
      <protection/>
    </xf>
    <xf numFmtId="191" fontId="1" fillId="0" borderId="5" xfId="0" applyNumberFormat="1" applyFont="1" applyBorder="1" applyAlignment="1">
      <alignment/>
    </xf>
    <xf numFmtId="191" fontId="1" fillId="3" borderId="21" xfId="0" applyNumberFormat="1" applyFont="1" applyFill="1" applyBorder="1" applyAlignment="1" applyProtection="1">
      <alignment/>
      <protection/>
    </xf>
    <xf numFmtId="191" fontId="1" fillId="0" borderId="21" xfId="0" applyNumberFormat="1" applyFont="1" applyBorder="1" applyAlignment="1" applyProtection="1">
      <alignment/>
      <protection/>
    </xf>
    <xf numFmtId="191" fontId="1" fillId="0" borderId="21" xfId="0" applyNumberFormat="1" applyFont="1" applyBorder="1" applyAlignment="1">
      <alignment/>
    </xf>
    <xf numFmtId="191" fontId="1" fillId="0" borderId="0" xfId="0" applyNumberFormat="1" applyFont="1" applyAlignment="1">
      <alignment/>
    </xf>
    <xf numFmtId="191" fontId="1" fillId="0" borderId="1" xfId="0" applyNumberFormat="1" applyFont="1" applyBorder="1" applyAlignment="1">
      <alignment/>
    </xf>
    <xf numFmtId="191" fontId="1" fillId="4" borderId="1" xfId="0" applyNumberFormat="1" applyFont="1" applyFill="1" applyBorder="1" applyAlignment="1">
      <alignment/>
    </xf>
    <xf numFmtId="196" fontId="1" fillId="4" borderId="1" xfId="0" applyNumberFormat="1" applyFont="1" applyFill="1" applyBorder="1" applyAlignment="1">
      <alignment/>
    </xf>
    <xf numFmtId="196" fontId="1" fillId="0" borderId="1" xfId="0" applyNumberFormat="1" applyFont="1" applyBorder="1" applyAlignment="1">
      <alignment/>
    </xf>
    <xf numFmtId="49" fontId="1" fillId="0" borderId="0" xfId="0" applyNumberFormat="1" applyFont="1" applyAlignment="1">
      <alignment/>
    </xf>
    <xf numFmtId="196" fontId="0" fillId="0" borderId="0" xfId="0" applyNumberFormat="1" applyAlignment="1">
      <alignment/>
    </xf>
    <xf numFmtId="196" fontId="5" fillId="4" borderId="29" xfId="0" applyNumberFormat="1" applyFont="1" applyFill="1" applyBorder="1" applyAlignment="1">
      <alignment/>
    </xf>
    <xf numFmtId="37" fontId="5" fillId="3" borderId="29" xfId="0" applyFont="1" applyFill="1" applyBorder="1" applyAlignment="1">
      <alignment horizontal="center"/>
    </xf>
    <xf numFmtId="37" fontId="1" fillId="3" borderId="21" xfId="0" applyFont="1" applyFill="1" applyBorder="1" applyAlignment="1">
      <alignment/>
    </xf>
    <xf numFmtId="37" fontId="5" fillId="9" borderId="30" xfId="0" applyFont="1" applyFill="1" applyBorder="1" applyAlignment="1">
      <alignment/>
    </xf>
    <xf numFmtId="174" fontId="5" fillId="9" borderId="30" xfId="20" applyNumberFormat="1" applyFont="1" applyFill="1" applyBorder="1" applyAlignment="1">
      <alignment/>
    </xf>
    <xf numFmtId="37" fontId="1" fillId="0" borderId="21" xfId="0" applyFont="1" applyBorder="1" applyAlignment="1" quotePrefix="1">
      <alignment horizontal="left"/>
    </xf>
    <xf numFmtId="37" fontId="1" fillId="3" borderId="21" xfId="0" applyNumberFormat="1" applyFont="1" applyFill="1" applyBorder="1" applyAlignment="1" applyProtection="1">
      <alignment/>
      <protection/>
    </xf>
    <xf numFmtId="37" fontId="5" fillId="0" borderId="15" xfId="0" applyFont="1" applyBorder="1" applyAlignment="1">
      <alignment/>
    </xf>
    <xf numFmtId="191" fontId="1" fillId="0" borderId="1" xfId="0" applyNumberFormat="1" applyFont="1" applyBorder="1" applyAlignment="1">
      <alignment horizontal="right" vertical="center"/>
    </xf>
    <xf numFmtId="191" fontId="1" fillId="4" borderId="1" xfId="0" applyNumberFormat="1" applyFont="1" applyFill="1" applyBorder="1" applyAlignment="1">
      <alignment horizontal="right" vertical="center"/>
    </xf>
    <xf numFmtId="197" fontId="1" fillId="0" borderId="0" xfId="0" applyNumberFormat="1" applyFont="1" applyAlignment="1">
      <alignment vertical="center"/>
    </xf>
    <xf numFmtId="174" fontId="1" fillId="4" borderId="1" xfId="0" applyNumberFormat="1" applyFont="1" applyFill="1" applyBorder="1" applyAlignment="1">
      <alignment vertical="center"/>
    </xf>
    <xf numFmtId="174" fontId="1" fillId="0" borderId="1" xfId="0" applyNumberFormat="1" applyFont="1" applyBorder="1" applyAlignment="1">
      <alignment vertical="center"/>
    </xf>
    <xf numFmtId="174" fontId="1" fillId="0" borderId="0" xfId="0" applyNumberFormat="1" applyFont="1" applyAlignment="1">
      <alignment vertical="center"/>
    </xf>
    <xf numFmtId="174" fontId="5" fillId="4" borderId="4" xfId="0" applyNumberFormat="1" applyFont="1" applyFill="1" applyBorder="1" applyAlignment="1">
      <alignment vertical="center"/>
    </xf>
    <xf numFmtId="174" fontId="1" fillId="0" borderId="0" xfId="0" applyNumberFormat="1" applyFont="1" applyAlignment="1">
      <alignment/>
    </xf>
    <xf numFmtId="174" fontId="1" fillId="0" borderId="1" xfId="0" applyNumberFormat="1" applyFont="1" applyBorder="1" applyAlignment="1">
      <alignment/>
    </xf>
    <xf numFmtId="174" fontId="1" fillId="4" borderId="1" xfId="0" applyNumberFormat="1" applyFont="1" applyFill="1" applyBorder="1" applyAlignment="1">
      <alignment/>
    </xf>
    <xf numFmtId="191" fontId="1" fillId="4" borderId="1" xfId="0" applyNumberFormat="1" applyFont="1" applyFill="1" applyBorder="1" applyAlignment="1">
      <alignment horizontal="right"/>
    </xf>
    <xf numFmtId="191" fontId="1" fillId="0" borderId="1" xfId="0" applyNumberFormat="1" applyFont="1" applyBorder="1" applyAlignment="1">
      <alignment horizontal="right"/>
    </xf>
    <xf numFmtId="37" fontId="5" fillId="3" borderId="0" xfId="0" applyFont="1" applyFill="1" applyBorder="1" applyAlignment="1">
      <alignment horizontal="right"/>
    </xf>
    <xf numFmtId="37" fontId="5" fillId="0" borderId="8" xfId="0" applyFont="1" applyBorder="1" applyAlignment="1">
      <alignment horizontal="centerContinuous"/>
    </xf>
    <xf numFmtId="37" fontId="5" fillId="0" borderId="8" xfId="0" applyFont="1" applyBorder="1" applyAlignment="1">
      <alignment horizontal="center"/>
    </xf>
    <xf numFmtId="37" fontId="5" fillId="0" borderId="10" xfId="0" applyFont="1" applyBorder="1" applyAlignment="1">
      <alignment horizontal="center"/>
    </xf>
    <xf numFmtId="49" fontId="19" fillId="0" borderId="10" xfId="0" applyNumberFormat="1" applyFont="1" applyBorder="1" applyAlignment="1">
      <alignment horizontal="center"/>
    </xf>
    <xf numFmtId="37" fontId="5" fillId="8" borderId="8" xfId="0" applyFont="1" applyFill="1" applyBorder="1" applyAlignment="1">
      <alignment horizontal="center"/>
    </xf>
    <xf numFmtId="37" fontId="5" fillId="8" borderId="10" xfId="0" applyFont="1" applyFill="1" applyBorder="1" applyAlignment="1">
      <alignment horizontal="center"/>
    </xf>
    <xf numFmtId="37" fontId="5" fillId="0" borderId="0" xfId="0" applyFont="1" applyBorder="1" applyAlignment="1" applyProtection="1">
      <alignment horizontal="center" vertical="center"/>
      <protection/>
    </xf>
    <xf numFmtId="37" fontId="5" fillId="0" borderId="2" xfId="0" applyFont="1" applyBorder="1" applyAlignment="1" applyProtection="1">
      <alignment horizontal="center" vertical="center"/>
      <protection/>
    </xf>
    <xf numFmtId="37" fontId="5" fillId="0" borderId="23" xfId="0" applyFont="1" applyBorder="1" applyAlignment="1">
      <alignment vertical="center"/>
    </xf>
    <xf numFmtId="37" fontId="5" fillId="0" borderId="24" xfId="0" applyFont="1" applyBorder="1" applyAlignment="1">
      <alignment vertical="center"/>
    </xf>
    <xf numFmtId="191" fontId="1" fillId="4" borderId="7" xfId="0" applyNumberFormat="1" applyFont="1" applyFill="1" applyBorder="1" applyAlignment="1">
      <alignment vertical="center"/>
    </xf>
    <xf numFmtId="191" fontId="1" fillId="0" borderId="7" xfId="0" applyNumberFormat="1" applyFont="1" applyBorder="1" applyAlignment="1">
      <alignment vertical="center"/>
    </xf>
    <xf numFmtId="197" fontId="1" fillId="4" borderId="18" xfId="0" applyNumberFormat="1" applyFont="1" applyFill="1" applyBorder="1" applyAlignment="1">
      <alignment vertical="center"/>
    </xf>
    <xf numFmtId="197" fontId="1" fillId="0" borderId="18" xfId="0" applyNumberFormat="1" applyFont="1" applyBorder="1" applyAlignment="1">
      <alignment vertical="center"/>
    </xf>
    <xf numFmtId="191" fontId="5" fillId="4" borderId="11" xfId="0" applyNumberFormat="1" applyFont="1" applyFill="1" applyBorder="1" applyAlignment="1">
      <alignment vertical="center"/>
    </xf>
    <xf numFmtId="197" fontId="5" fillId="4" borderId="31" xfId="0" applyNumberFormat="1" applyFont="1" applyFill="1" applyBorder="1" applyAlignment="1">
      <alignment vertical="center"/>
    </xf>
    <xf numFmtId="37" fontId="1" fillId="0" borderId="3" xfId="0" applyFont="1" applyBorder="1" applyAlignment="1" quotePrefix="1">
      <alignment horizontal="right" vertical="center"/>
    </xf>
    <xf numFmtId="49" fontId="0" fillId="0" borderId="0" xfId="0" applyNumberFormat="1" applyFont="1" applyBorder="1" applyAlignment="1" quotePrefix="1">
      <alignment horizontal="left"/>
    </xf>
    <xf numFmtId="37" fontId="5" fillId="5" borderId="3" xfId="0" applyFont="1" applyFill="1" applyBorder="1" applyAlignment="1">
      <alignment/>
    </xf>
    <xf numFmtId="37" fontId="5" fillId="5" borderId="14" xfId="0" applyFont="1" applyFill="1" applyBorder="1" applyAlignment="1">
      <alignment horizontal="centerContinuous"/>
    </xf>
    <xf numFmtId="37" fontId="5" fillId="5" borderId="13" xfId="0" applyFont="1" applyFill="1" applyBorder="1" applyAlignment="1">
      <alignment horizontal="centerContinuous"/>
    </xf>
    <xf numFmtId="37" fontId="5" fillId="5" borderId="9" xfId="0" applyFont="1" applyFill="1" applyBorder="1" applyAlignment="1">
      <alignment horizontal="centerContinuous"/>
    </xf>
    <xf numFmtId="37" fontId="5" fillId="5" borderId="10" xfId="0" applyFont="1" applyFill="1" applyBorder="1" applyAlignment="1">
      <alignment horizontal="centerContinuous"/>
    </xf>
    <xf numFmtId="37" fontId="5" fillId="5" borderId="2" xfId="0" applyFont="1" applyFill="1" applyBorder="1" applyAlignment="1">
      <alignment horizontal="centerContinuous"/>
    </xf>
    <xf numFmtId="37" fontId="1" fillId="0" borderId="0" xfId="0" applyNumberFormat="1" applyFont="1" applyBorder="1" applyAlignment="1" applyProtection="1">
      <alignment/>
      <protection/>
    </xf>
    <xf numFmtId="37" fontId="1" fillId="0" borderId="3" xfId="0" applyFont="1" applyBorder="1" applyAlignment="1">
      <alignment/>
    </xf>
    <xf numFmtId="37" fontId="5" fillId="0" borderId="25" xfId="0" applyFont="1" applyBorder="1" applyAlignment="1">
      <alignment horizontal="centerContinuous" vertical="center"/>
    </xf>
    <xf numFmtId="37" fontId="5" fillId="3" borderId="2" xfId="0" applyFont="1" applyFill="1" applyBorder="1" applyAlignment="1">
      <alignment horizontal="centerContinuous" vertical="center"/>
    </xf>
    <xf numFmtId="37" fontId="1" fillId="0" borderId="24" xfId="0" applyFont="1" applyBorder="1" applyAlignment="1">
      <alignment horizontal="left"/>
    </xf>
    <xf numFmtId="191" fontId="1" fillId="0" borderId="24" xfId="0" applyNumberFormat="1" applyFont="1" applyBorder="1" applyAlignment="1" applyProtection="1">
      <alignment/>
      <protection/>
    </xf>
    <xf numFmtId="174" fontId="1" fillId="0" borderId="24" xfId="0" applyNumberFormat="1" applyFont="1" applyBorder="1" applyAlignment="1" applyProtection="1">
      <alignment/>
      <protection/>
    </xf>
    <xf numFmtId="37" fontId="1" fillId="0" borderId="24" xfId="0" applyFont="1" applyBorder="1" applyAlignment="1">
      <alignment/>
    </xf>
    <xf numFmtId="37" fontId="1" fillId="0" borderId="24" xfId="0" applyNumberFormat="1" applyFont="1" applyBorder="1" applyAlignment="1" applyProtection="1">
      <alignment/>
      <protection/>
    </xf>
    <xf numFmtId="37" fontId="1" fillId="3" borderId="24" xfId="0" applyNumberFormat="1" applyFont="1" applyFill="1" applyBorder="1" applyAlignment="1" applyProtection="1">
      <alignment/>
      <protection/>
    </xf>
    <xf numFmtId="37" fontId="5" fillId="0" borderId="29" xfId="0" applyFont="1" applyFill="1" applyBorder="1" applyAlignment="1">
      <alignment/>
    </xf>
    <xf numFmtId="174" fontId="5" fillId="0" borderId="29" xfId="20" applyNumberFormat="1" applyFont="1" applyFill="1" applyBorder="1" applyAlignment="1">
      <alignment/>
    </xf>
    <xf numFmtId="37" fontId="5" fillId="9" borderId="29" xfId="0" applyFont="1" applyFill="1" applyBorder="1" applyAlignment="1">
      <alignment/>
    </xf>
    <xf numFmtId="37" fontId="5" fillId="0" borderId="23" xfId="0" applyFont="1" applyFill="1" applyBorder="1" applyAlignment="1">
      <alignment/>
    </xf>
    <xf numFmtId="174" fontId="5" fillId="0" borderId="23" xfId="20" applyNumberFormat="1" applyFont="1" applyFill="1" applyBorder="1" applyAlignment="1">
      <alignment/>
    </xf>
    <xf numFmtId="191" fontId="1" fillId="3" borderId="23" xfId="0" applyNumberFormat="1" applyFont="1" applyFill="1" applyBorder="1" applyAlignment="1" applyProtection="1">
      <alignment/>
      <protection/>
    </xf>
    <xf numFmtId="174" fontId="1" fillId="3" borderId="23" xfId="0" applyNumberFormat="1" applyFont="1" applyFill="1" applyBorder="1" applyAlignment="1" applyProtection="1">
      <alignment/>
      <protection/>
    </xf>
    <xf numFmtId="37" fontId="5" fillId="3" borderId="16" xfId="0" applyFont="1" applyFill="1" applyBorder="1" applyAlignment="1">
      <alignment horizontal="centerContinuous"/>
    </xf>
    <xf numFmtId="37" fontId="5" fillId="3" borderId="3" xfId="0" applyFont="1" applyFill="1" applyBorder="1" applyAlignment="1" applyProtection="1">
      <alignment horizontal="centerContinuous" vertical="center"/>
      <protection/>
    </xf>
    <xf numFmtId="37" fontId="5" fillId="3" borderId="2" xfId="0" applyFont="1" applyFill="1" applyBorder="1" applyAlignment="1" applyProtection="1">
      <alignment horizontal="centerContinuous" vertical="center"/>
      <protection locked="0"/>
    </xf>
    <xf numFmtId="37" fontId="5" fillId="3" borderId="2" xfId="0" applyFont="1" applyFill="1" applyBorder="1" applyAlignment="1" applyProtection="1">
      <alignment horizontal="centerContinuous" vertical="center"/>
      <protection/>
    </xf>
    <xf numFmtId="37" fontId="5" fillId="0" borderId="5" xfId="0" applyFont="1" applyBorder="1" applyAlignment="1">
      <alignment horizontal="centerContinuous" vertical="center"/>
    </xf>
    <xf numFmtId="37" fontId="5" fillId="0" borderId="3" xfId="0" applyFont="1" applyBorder="1" applyAlignment="1">
      <alignment horizontal="centerContinuous" vertical="center"/>
    </xf>
    <xf numFmtId="37" fontId="5" fillId="0" borderId="2" xfId="0" applyFont="1" applyBorder="1" applyAlignment="1">
      <alignment horizontal="centerContinuous" vertical="center"/>
    </xf>
    <xf numFmtId="49" fontId="1" fillId="0" borderId="0" xfId="0" applyNumberFormat="1" applyFont="1" applyAlignment="1">
      <alignment/>
    </xf>
    <xf numFmtId="49" fontId="22" fillId="0" borderId="0" xfId="0" applyNumberFormat="1" applyFont="1" applyAlignment="1">
      <alignment/>
    </xf>
    <xf numFmtId="49" fontId="22" fillId="0" borderId="0" xfId="0" applyNumberFormat="1" applyFont="1" applyAlignment="1">
      <alignment/>
    </xf>
    <xf numFmtId="37" fontId="22" fillId="0" borderId="0" xfId="0" applyFont="1" applyAlignment="1">
      <alignment/>
    </xf>
    <xf numFmtId="37" fontId="22" fillId="0" borderId="0" xfId="0" applyFont="1" applyAlignment="1">
      <alignment horizontal="left"/>
    </xf>
    <xf numFmtId="37" fontId="22" fillId="0" borderId="0" xfId="0" applyFont="1" applyAlignment="1">
      <alignment/>
    </xf>
    <xf numFmtId="49" fontId="1" fillId="0" borderId="0" xfId="0" applyNumberFormat="1" applyFont="1" applyAlignment="1">
      <alignment horizontal="right"/>
    </xf>
    <xf numFmtId="49" fontId="1" fillId="0" borderId="0" xfId="0" applyNumberFormat="1" applyFont="1" applyAlignment="1">
      <alignment horizontal="left"/>
    </xf>
    <xf numFmtId="37" fontId="3" fillId="0" borderId="2" xfId="0" applyFont="1" applyBorder="1" applyAlignment="1" applyProtection="1">
      <alignment horizontal="centerContinuous"/>
      <protection locked="0"/>
    </xf>
    <xf numFmtId="37" fontId="10" fillId="0" borderId="2" xfId="0" applyFont="1" applyBorder="1" applyAlignment="1" applyProtection="1">
      <alignment horizontal="centerContinuous"/>
      <protection locked="0"/>
    </xf>
    <xf numFmtId="37" fontId="9" fillId="0" borderId="2" xfId="0" applyFont="1" applyBorder="1" applyAlignment="1">
      <alignment horizontal="centerContinuous"/>
    </xf>
    <xf numFmtId="37" fontId="6" fillId="0" borderId="0" xfId="0" applyFont="1" applyAlignment="1" applyProtection="1">
      <alignment/>
      <protection locked="0"/>
    </xf>
    <xf numFmtId="37" fontId="1" fillId="0" borderId="12" xfId="0" applyFont="1" applyBorder="1" applyAlignment="1">
      <alignment/>
    </xf>
    <xf numFmtId="37" fontId="5" fillId="0" borderId="15" xfId="0" applyFont="1" applyBorder="1" applyAlignment="1">
      <alignment horizontal="right"/>
    </xf>
    <xf numFmtId="37" fontId="5" fillId="0" borderId="10" xfId="0" applyFont="1" applyBorder="1" applyAlignment="1">
      <alignment/>
    </xf>
    <xf numFmtId="37" fontId="1" fillId="4" borderId="4" xfId="0" applyFont="1" applyFill="1" applyBorder="1" applyAlignment="1">
      <alignment/>
    </xf>
    <xf numFmtId="37" fontId="1" fillId="0" borderId="1" xfId="0" applyFont="1" applyBorder="1" applyAlignment="1">
      <alignment/>
    </xf>
    <xf numFmtId="37" fontId="1" fillId="4" borderId="1" xfId="0" applyNumberFormat="1" applyFont="1" applyFill="1" applyBorder="1" applyAlignment="1" applyProtection="1">
      <alignment/>
      <protection/>
    </xf>
    <xf numFmtId="37" fontId="1" fillId="4" borderId="1" xfId="0" applyFont="1" applyFill="1" applyBorder="1" applyAlignment="1">
      <alignment/>
    </xf>
    <xf numFmtId="37" fontId="4" fillId="4" borderId="4" xfId="0" applyFont="1" applyFill="1" applyBorder="1" applyAlignment="1">
      <alignment/>
    </xf>
    <xf numFmtId="1" fontId="1" fillId="4" borderId="1" xfId="0" applyNumberFormat="1" applyFont="1" applyFill="1" applyBorder="1" applyAlignment="1">
      <alignment/>
    </xf>
    <xf numFmtId="175" fontId="1" fillId="4" borderId="1" xfId="0" applyNumberFormat="1" applyFont="1" applyFill="1" applyBorder="1" applyAlignment="1">
      <alignment/>
    </xf>
    <xf numFmtId="0" fontId="0" fillId="0" borderId="0" xfId="16" applyNumberFormat="1" applyAlignment="1">
      <alignment/>
    </xf>
    <xf numFmtId="1" fontId="1" fillId="0" borderId="1" xfId="0" applyNumberFormat="1" applyFont="1" applyBorder="1" applyAlignment="1">
      <alignment/>
    </xf>
    <xf numFmtId="175" fontId="1" fillId="0" borderId="1" xfId="0" applyNumberFormat="1" applyFont="1" applyBorder="1" applyAlignment="1">
      <alignment/>
    </xf>
    <xf numFmtId="37" fontId="15" fillId="0" borderId="0" xfId="0" applyFont="1" applyAlignment="1">
      <alignment/>
    </xf>
    <xf numFmtId="37" fontId="1" fillId="4" borderId="4" xfId="0" applyFont="1" applyFill="1" applyBorder="1" applyAlignment="1">
      <alignment/>
    </xf>
    <xf numFmtId="175" fontId="5" fillId="4" borderId="4" xfId="0" applyNumberFormat="1" applyFont="1" applyFill="1" applyBorder="1" applyAlignment="1" applyProtection="1">
      <alignment/>
      <protection/>
    </xf>
    <xf numFmtId="173" fontId="1" fillId="0" borderId="0" xfId="0" applyNumberFormat="1" applyFont="1" applyBorder="1" applyAlignment="1" applyProtection="1">
      <alignment/>
      <protection/>
    </xf>
    <xf numFmtId="173" fontId="1" fillId="7" borderId="0" xfId="0" applyNumberFormat="1" applyFont="1" applyFill="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0" fillId="0" borderId="0" xfId="0" applyAlignment="1" quotePrefix="1">
      <alignment horizontal="right"/>
    </xf>
    <xf numFmtId="0" fontId="1" fillId="4" borderId="1" xfId="0" applyNumberFormat="1" applyFont="1" applyFill="1" applyBorder="1" applyAlignment="1">
      <alignment/>
    </xf>
    <xf numFmtId="37" fontId="1" fillId="0" borderId="0" xfId="0" applyNumberFormat="1" applyFont="1" applyAlignment="1" applyProtection="1">
      <alignment horizontal="right"/>
      <protection/>
    </xf>
    <xf numFmtId="0" fontId="1" fillId="0" borderId="1" xfId="0" applyNumberFormat="1" applyFont="1" applyBorder="1" applyAlignment="1">
      <alignment/>
    </xf>
    <xf numFmtId="1" fontId="1" fillId="0" borderId="0" xfId="0" applyNumberFormat="1" applyFont="1" applyAlignment="1">
      <alignment/>
    </xf>
    <xf numFmtId="37" fontId="1" fillId="0" borderId="0" xfId="0" applyFont="1" applyAlignment="1" applyProtection="1">
      <alignment horizontal="right"/>
      <protection/>
    </xf>
    <xf numFmtId="37" fontId="1" fillId="0" borderId="2" xfId="0" applyFont="1" applyBorder="1" applyAlignment="1" quotePrefix="1">
      <alignment horizontal="centerContinuous"/>
    </xf>
    <xf numFmtId="37" fontId="5" fillId="0" borderId="3" xfId="0" applyFont="1" applyBorder="1" applyAlignment="1">
      <alignment horizontal="centerContinuous"/>
    </xf>
    <xf numFmtId="37" fontId="5" fillId="0" borderId="2" xfId="0" applyFont="1" applyBorder="1" applyAlignment="1" quotePrefix="1">
      <alignment horizontal="centerContinuous"/>
    </xf>
    <xf numFmtId="0" fontId="1" fillId="0" borderId="0" xfId="16" applyNumberFormat="1" applyFont="1" applyAlignment="1">
      <alignment/>
    </xf>
    <xf numFmtId="49" fontId="22" fillId="0" borderId="0" xfId="0" applyNumberFormat="1" applyFont="1" applyAlignment="1">
      <alignment horizontal="left"/>
    </xf>
    <xf numFmtId="37" fontId="5" fillId="0" borderId="0" xfId="0" applyFont="1" applyFill="1" applyBorder="1" applyAlignment="1">
      <alignment/>
    </xf>
    <xf numFmtId="37" fontId="1" fillId="0" borderId="0" xfId="0" applyFont="1" applyFill="1" applyAlignment="1">
      <alignment/>
    </xf>
    <xf numFmtId="37" fontId="1" fillId="0" borderId="0" xfId="0" applyFont="1" applyBorder="1" applyAlignment="1">
      <alignment/>
    </xf>
    <xf numFmtId="49" fontId="5" fillId="0" borderId="29" xfId="0" applyNumberFormat="1" applyFont="1" applyBorder="1" applyAlignment="1">
      <alignment horizontal="center"/>
    </xf>
    <xf numFmtId="37" fontId="5" fillId="3" borderId="3" xfId="0" applyFont="1" applyFill="1" applyBorder="1" applyAlignment="1">
      <alignment horizontal="centerContinuous"/>
    </xf>
    <xf numFmtId="191" fontId="1" fillId="0" borderId="7" xfId="0" applyNumberFormat="1" applyFont="1" applyBorder="1" applyAlignment="1" applyProtection="1">
      <alignment/>
      <protection/>
    </xf>
    <xf numFmtId="49" fontId="20" fillId="0" borderId="8" xfId="0" applyNumberFormat="1" applyFont="1" applyBorder="1" applyAlignment="1">
      <alignment/>
    </xf>
    <xf numFmtId="37" fontId="1" fillId="0" borderId="14" xfId="0" applyFont="1" applyBorder="1" applyAlignment="1">
      <alignment/>
    </xf>
    <xf numFmtId="37" fontId="1" fillId="0" borderId="13" xfId="0" applyFont="1" applyBorder="1" applyAlignment="1">
      <alignment/>
    </xf>
    <xf numFmtId="37" fontId="1" fillId="0" borderId="11" xfId="0" applyFont="1" applyBorder="1" applyAlignment="1">
      <alignment/>
    </xf>
    <xf numFmtId="37" fontId="5" fillId="0" borderId="6" xfId="0" applyFont="1" applyBorder="1" applyAlignment="1">
      <alignment/>
    </xf>
    <xf numFmtId="37" fontId="1" fillId="3" borderId="13" xfId="0" applyFont="1" applyFill="1" applyBorder="1" applyAlignment="1">
      <alignment horizontal="centerContinuous"/>
    </xf>
    <xf numFmtId="37" fontId="5" fillId="0" borderId="32" xfId="0" applyFont="1" applyBorder="1" applyAlignment="1">
      <alignment/>
    </xf>
    <xf numFmtId="37" fontId="5" fillId="0" borderId="32" xfId="0" applyFont="1" applyBorder="1" applyAlignment="1">
      <alignment vertical="top"/>
    </xf>
    <xf numFmtId="172" fontId="0" fillId="0" borderId="0" xfId="0" applyNumberFormat="1" applyAlignment="1">
      <alignment/>
    </xf>
    <xf numFmtId="49" fontId="5" fillId="0" borderId="33" xfId="0" applyNumberFormat="1" applyFont="1" applyBorder="1" applyAlignment="1">
      <alignment horizontal="center"/>
    </xf>
    <xf numFmtId="49" fontId="5" fillId="0" borderId="25" xfId="0" applyNumberFormat="1" applyFont="1" applyBorder="1" applyAlignment="1">
      <alignment horizontal="center"/>
    </xf>
    <xf numFmtId="49" fontId="5" fillId="0" borderId="34" xfId="0" applyNumberFormat="1" applyFont="1" applyBorder="1" applyAlignment="1">
      <alignment horizontal="center"/>
    </xf>
    <xf numFmtId="49" fontId="13" fillId="0" borderId="7" xfId="0" applyNumberFormat="1" applyFont="1" applyBorder="1" applyAlignment="1">
      <alignment horizontal="right" vertical="top" textRotation="180"/>
    </xf>
    <xf numFmtId="49" fontId="17" fillId="0" borderId="7" xfId="0" applyNumberFormat="1" applyFont="1" applyBorder="1" applyAlignment="1">
      <alignment horizontal="right" vertical="top"/>
    </xf>
    <xf numFmtId="37" fontId="5" fillId="0" borderId="9" xfId="0" applyFont="1" applyBorder="1" applyAlignment="1">
      <alignment horizontal="center"/>
    </xf>
    <xf numFmtId="37" fontId="5" fillId="0" borderId="10" xfId="0" applyFont="1" applyBorder="1" applyAlignment="1">
      <alignment horizontal="center"/>
    </xf>
    <xf numFmtId="49" fontId="16" fillId="0" borderId="32" xfId="0" applyNumberFormat="1" applyFont="1" applyBorder="1" applyAlignment="1">
      <alignment horizontal="right" vertical="top" textRotation="180"/>
    </xf>
    <xf numFmtId="37" fontId="24" fillId="0" borderId="32" xfId="0" applyFont="1" applyBorder="1" applyAlignment="1">
      <alignment horizontal="right" vertical="top" textRotation="180"/>
    </xf>
    <xf numFmtId="49" fontId="16" fillId="0" borderId="32" xfId="0" applyNumberFormat="1" applyFont="1" applyBorder="1" applyAlignment="1">
      <alignment horizontal="right" vertical="center" textRotation="180"/>
    </xf>
    <xf numFmtId="37" fontId="24" fillId="0" borderId="32" xfId="0" applyFont="1" applyBorder="1" applyAlignment="1">
      <alignment horizontal="right" vertical="center" textRotation="180"/>
    </xf>
    <xf numFmtId="37" fontId="12" fillId="10" borderId="0" xfId="0" applyFont="1" applyFill="1" applyAlignment="1">
      <alignment/>
    </xf>
    <xf numFmtId="37" fontId="12" fillId="0" borderId="0" xfId="0" applyFont="1" applyAlignment="1">
      <alignment/>
    </xf>
    <xf numFmtId="37" fontId="14" fillId="10" borderId="0" xfId="0" applyFont="1" applyFill="1" applyAlignment="1">
      <alignment horizontal="center"/>
    </xf>
    <xf numFmtId="37" fontId="12" fillId="10" borderId="0" xfId="0" applyFont="1" applyFill="1" applyAlignment="1">
      <alignment/>
    </xf>
    <xf numFmtId="37" fontId="12" fillId="10" borderId="0" xfId="0" applyFont="1" applyFill="1" applyAlignment="1">
      <alignment wrapText="1"/>
    </xf>
    <xf numFmtId="37" fontId="5" fillId="3" borderId="5" xfId="0" applyFont="1" applyFill="1" applyBorder="1" applyAlignment="1" applyProtection="1">
      <alignment horizontal="centerContinuous" vertical="center"/>
      <protection/>
    </xf>
    <xf numFmtId="37" fontId="5" fillId="0" borderId="2" xfId="0" applyFont="1" applyBorder="1" applyAlignment="1">
      <alignment horizontal="centerContinuous"/>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02_FRAME_Act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8 -"/>
      <sheetName val="- 49 -"/>
      <sheetName val="- 50 -"/>
      <sheetName val="- 51 -"/>
      <sheetName val="- 53 -"/>
      <sheetName val="- 55 -"/>
      <sheetName val="- 56 -"/>
      <sheetName val="- 57 -"/>
      <sheetName val="- 58 -"/>
      <sheetName val="- 59 -"/>
      <sheetName val="- 60 -"/>
      <sheetName val="- 6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6"/>
  <sheetViews>
    <sheetView showGridLines="0" showRowColHeaders="0" showZeros="0" tabSelected="1" workbookViewId="0" topLeftCell="A1">
      <selection activeCell="B1" sqref="B1"/>
    </sheetView>
  </sheetViews>
  <sheetFormatPr defaultColWidth="9.33203125" defaultRowHeight="12"/>
  <cols>
    <col min="1" max="1" width="9.33203125" style="547" customWidth="1"/>
    <col min="2" max="2" width="112.16015625" style="547" customWidth="1"/>
    <col min="3" max="16384" width="9.33203125" style="547" customWidth="1"/>
  </cols>
  <sheetData>
    <row r="1" spans="1:3" ht="0.75" customHeight="1">
      <c r="A1" s="546"/>
      <c r="B1" s="546"/>
      <c r="C1" s="546"/>
    </row>
    <row r="2" spans="1:3" ht="14.25">
      <c r="A2" s="546"/>
      <c r="B2" s="546"/>
      <c r="C2" s="546"/>
    </row>
    <row r="3" spans="1:3" ht="15">
      <c r="A3" s="546"/>
      <c r="B3" s="548" t="s">
        <v>554</v>
      </c>
      <c r="C3" s="546"/>
    </row>
    <row r="4" spans="1:3" ht="14.25">
      <c r="A4" s="546"/>
      <c r="B4" s="546"/>
      <c r="C4" s="546"/>
    </row>
    <row r="5" spans="1:3" ht="14.25">
      <c r="A5" s="546"/>
      <c r="B5" s="549" t="s">
        <v>550</v>
      </c>
      <c r="C5" s="549"/>
    </row>
    <row r="6" spans="1:3" ht="14.25">
      <c r="A6" s="546"/>
      <c r="B6" s="546"/>
      <c r="C6" s="546"/>
    </row>
    <row r="7" spans="1:3" ht="14.25">
      <c r="A7" s="546"/>
      <c r="B7" s="550" t="s">
        <v>551</v>
      </c>
      <c r="C7" s="546"/>
    </row>
    <row r="8" spans="1:3" ht="14.25">
      <c r="A8" s="546"/>
      <c r="B8" s="550"/>
      <c r="C8" s="546"/>
    </row>
    <row r="9" spans="1:3" ht="14.25">
      <c r="A9" s="546"/>
      <c r="B9" s="546"/>
      <c r="C9" s="546"/>
    </row>
    <row r="10" spans="1:3" ht="14.25">
      <c r="A10" s="546"/>
      <c r="B10" s="550" t="s">
        <v>555</v>
      </c>
      <c r="C10" s="546"/>
    </row>
    <row r="11" spans="1:3" ht="14.25">
      <c r="A11" s="546"/>
      <c r="B11" s="550"/>
      <c r="C11" s="546"/>
    </row>
    <row r="12" spans="1:3" ht="14.25">
      <c r="A12" s="546"/>
      <c r="B12" s="550"/>
      <c r="C12" s="546"/>
    </row>
    <row r="13" spans="1:3" ht="14.25">
      <c r="A13" s="546"/>
      <c r="B13" s="546"/>
      <c r="C13" s="546"/>
    </row>
    <row r="14" spans="1:3" ht="14.25">
      <c r="A14" s="546"/>
      <c r="B14" s="550" t="s">
        <v>552</v>
      </c>
      <c r="C14" s="546"/>
    </row>
    <row r="15" spans="1:3" ht="14.25">
      <c r="A15" s="546"/>
      <c r="B15" s="550"/>
      <c r="C15" s="546"/>
    </row>
    <row r="16" spans="1:3" ht="14.25">
      <c r="A16" s="546"/>
      <c r="B16" s="546"/>
      <c r="C16" s="546"/>
    </row>
    <row r="17" spans="1:3" ht="14.25">
      <c r="A17" s="546"/>
      <c r="B17" s="550" t="s">
        <v>553</v>
      </c>
      <c r="C17" s="546"/>
    </row>
    <row r="18" spans="1:3" ht="14.25">
      <c r="A18" s="546"/>
      <c r="B18" s="550"/>
      <c r="C18" s="546"/>
    </row>
    <row r="19" spans="1:3" ht="14.25">
      <c r="A19" s="546"/>
      <c r="B19" s="550"/>
      <c r="C19" s="546"/>
    </row>
    <row r="20" spans="1:3" ht="14.25">
      <c r="A20" s="546"/>
      <c r="B20" s="550"/>
      <c r="C20" s="546"/>
    </row>
    <row r="21" spans="1:3" ht="14.25">
      <c r="A21" s="546"/>
      <c r="B21" s="549"/>
      <c r="C21" s="546"/>
    </row>
    <row r="22" spans="1:3" ht="14.25">
      <c r="A22" s="546"/>
      <c r="B22" s="549"/>
      <c r="C22" s="546"/>
    </row>
    <row r="23" spans="1:3" ht="14.25">
      <c r="A23" s="546"/>
      <c r="B23" s="546"/>
      <c r="C23" s="546"/>
    </row>
    <row r="24" spans="1:3" ht="14.25">
      <c r="A24" s="546"/>
      <c r="B24" s="546"/>
      <c r="C24" s="546"/>
    </row>
    <row r="25" spans="1:3" ht="14.25">
      <c r="A25" s="546"/>
      <c r="B25" s="546"/>
      <c r="C25" s="546"/>
    </row>
    <row r="26" spans="1:3" ht="14.25">
      <c r="A26" s="546"/>
      <c r="B26" s="546"/>
      <c r="C26" s="546"/>
    </row>
  </sheetData>
  <mergeCells count="4">
    <mergeCell ref="B7:B8"/>
    <mergeCell ref="B10:B12"/>
    <mergeCell ref="B14:B15"/>
    <mergeCell ref="B17:B2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2"/>
  <sheetViews>
    <sheetView showGridLines="0" showZeros="0" workbookViewId="0" topLeftCell="A1">
      <selection activeCell="A1" sqref="A1"/>
    </sheetView>
  </sheetViews>
  <sheetFormatPr defaultColWidth="14.83203125" defaultRowHeight="12"/>
  <cols>
    <col min="1" max="1" width="52.83203125" style="67" customWidth="1"/>
    <col min="2" max="2" width="23.83203125" style="67" customWidth="1"/>
    <col min="3" max="3" width="7.83203125" style="67" customWidth="1"/>
    <col min="4" max="4" width="16.83203125" style="67" customWidth="1"/>
    <col min="5" max="5" width="7.83203125" style="67" customWidth="1"/>
    <col min="6" max="6" width="16.83203125" style="67" customWidth="1"/>
    <col min="7" max="7" width="7.83203125" style="67" customWidth="1"/>
    <col min="8" max="8" width="12.83203125" style="67" customWidth="1"/>
    <col min="9" max="9" width="7.83203125" style="67" customWidth="1"/>
    <col min="10" max="10" width="16.83203125" style="67" customWidth="1"/>
    <col min="11" max="11" width="8.83203125" style="67" customWidth="1"/>
    <col min="12" max="12" width="6.83203125" style="67" customWidth="1"/>
    <col min="13" max="16384" width="14.83203125" style="67" customWidth="1"/>
  </cols>
  <sheetData>
    <row r="2" spans="1:11" ht="12.75">
      <c r="A2" s="140"/>
      <c r="B2" s="140"/>
      <c r="C2" s="102" t="str">
        <f>OPYEAR</f>
        <v>OPERATING FUND 2002/2003 ACTUAL</v>
      </c>
      <c r="D2" s="102"/>
      <c r="E2" s="102"/>
      <c r="F2" s="85"/>
      <c r="G2" s="85"/>
      <c r="H2" s="85"/>
      <c r="I2" s="85"/>
      <c r="J2" s="238"/>
      <c r="K2" s="86" t="s">
        <v>207</v>
      </c>
    </row>
    <row r="3" spans="10:11" ht="10.5" customHeight="1">
      <c r="J3" s="139"/>
      <c r="K3" s="139"/>
    </row>
    <row r="4" spans="2:11" ht="15.75">
      <c r="B4" s="261" t="s">
        <v>208</v>
      </c>
      <c r="C4" s="139"/>
      <c r="D4" s="139"/>
      <c r="E4" s="139"/>
      <c r="F4" s="139"/>
      <c r="G4" s="139"/>
      <c r="H4" s="139"/>
      <c r="I4" s="139"/>
      <c r="J4" s="139"/>
      <c r="K4" s="139"/>
    </row>
    <row r="5" spans="2:11" ht="15.75">
      <c r="B5" s="261" t="s">
        <v>209</v>
      </c>
      <c r="C5" s="139"/>
      <c r="D5" s="139"/>
      <c r="E5" s="139"/>
      <c r="F5" s="139"/>
      <c r="G5" s="139"/>
      <c r="H5" s="139"/>
      <c r="I5" s="139"/>
      <c r="J5" s="139"/>
      <c r="K5" s="139"/>
    </row>
    <row r="6" ht="10.5" customHeight="1"/>
    <row r="7" spans="2:9" ht="12.75">
      <c r="B7" s="101" t="s">
        <v>210</v>
      </c>
      <c r="C7" s="85"/>
      <c r="D7" s="85"/>
      <c r="E7" s="85"/>
      <c r="F7" s="85"/>
      <c r="G7" s="85"/>
      <c r="H7" s="85"/>
      <c r="I7" s="108"/>
    </row>
    <row r="8" spans="1:11" ht="12.75">
      <c r="A8" s="116"/>
      <c r="B8" s="53" t="s">
        <v>42</v>
      </c>
      <c r="C8" s="52"/>
      <c r="D8" s="51" t="s">
        <v>43</v>
      </c>
      <c r="E8" s="52"/>
      <c r="F8" s="51" t="s">
        <v>44</v>
      </c>
      <c r="G8" s="52"/>
      <c r="H8" s="148"/>
      <c r="I8" s="170"/>
      <c r="J8" s="106"/>
      <c r="K8" s="170"/>
    </row>
    <row r="9" spans="1:11" ht="12.75">
      <c r="A9" s="116"/>
      <c r="B9" s="54" t="s">
        <v>57</v>
      </c>
      <c r="C9" s="56"/>
      <c r="D9" s="55" t="s">
        <v>78</v>
      </c>
      <c r="E9" s="56"/>
      <c r="F9" s="55" t="s">
        <v>79</v>
      </c>
      <c r="G9" s="56"/>
      <c r="H9" s="55" t="s">
        <v>80</v>
      </c>
      <c r="I9" s="175"/>
      <c r="J9" s="55" t="s">
        <v>81</v>
      </c>
      <c r="K9" s="175"/>
    </row>
    <row r="10" spans="1:11" ht="12.75">
      <c r="A10" s="409" t="s">
        <v>197</v>
      </c>
      <c r="B10" s="239" t="s">
        <v>113</v>
      </c>
      <c r="C10" s="239" t="s">
        <v>114</v>
      </c>
      <c r="D10" s="239" t="s">
        <v>113</v>
      </c>
      <c r="E10" s="239" t="s">
        <v>114</v>
      </c>
      <c r="F10" s="239" t="s">
        <v>113</v>
      </c>
      <c r="G10" s="239" t="s">
        <v>114</v>
      </c>
      <c r="H10" s="239" t="s">
        <v>113</v>
      </c>
      <c r="I10" s="218" t="s">
        <v>114</v>
      </c>
      <c r="J10" s="239" t="s">
        <v>113</v>
      </c>
      <c r="K10" s="218" t="s">
        <v>114</v>
      </c>
    </row>
    <row r="11" spans="1:12" ht="4.5" customHeight="1">
      <c r="A11"/>
      <c r="B11"/>
      <c r="C11"/>
      <c r="D11"/>
      <c r="E11"/>
      <c r="F11"/>
      <c r="G11"/>
      <c r="H11"/>
      <c r="I11"/>
      <c r="J11"/>
      <c r="K11"/>
      <c r="L11"/>
    </row>
    <row r="12" spans="1:11" ht="12.75">
      <c r="A12" s="465" t="s">
        <v>200</v>
      </c>
      <c r="B12" s="468"/>
      <c r="C12" s="469"/>
      <c r="D12" s="468"/>
      <c r="E12" s="469"/>
      <c r="F12" s="468"/>
      <c r="G12" s="469"/>
      <c r="H12" s="468"/>
      <c r="I12" s="469"/>
      <c r="J12" s="468"/>
      <c r="K12" s="469"/>
    </row>
    <row r="13" spans="1:11" ht="12.75">
      <c r="A13" s="410" t="s">
        <v>375</v>
      </c>
      <c r="B13" s="398"/>
      <c r="C13" s="262"/>
      <c r="D13" s="398"/>
      <c r="E13" s="262"/>
      <c r="F13" s="398"/>
      <c r="G13" s="262"/>
      <c r="H13" s="398"/>
      <c r="I13" s="262"/>
      <c r="J13" s="398">
        <f>SUM(F13,D13,B13,'- 12 -'!J13,'- 12 -'!H13,'- 12 -'!F13,'- 12 -'!D13,'- 12 -'!B13)</f>
        <v>2951318.62</v>
      </c>
      <c r="K13" s="262">
        <f aca="true" t="shared" si="0" ref="K13:K20">J13/$J$52</f>
        <v>0.002190221616234523</v>
      </c>
    </row>
    <row r="14" spans="1:11" ht="12.75">
      <c r="A14" s="410" t="s">
        <v>520</v>
      </c>
      <c r="B14" s="398">
        <v>2720954.1</v>
      </c>
      <c r="C14" s="262">
        <f>B14/$J$52</f>
        <v>0.002019264353979494</v>
      </c>
      <c r="D14" s="398">
        <v>1538056.76</v>
      </c>
      <c r="E14" s="262">
        <f>D14/$J$52</f>
        <v>0.0011414169720338882</v>
      </c>
      <c r="F14" s="398">
        <v>2966031.62</v>
      </c>
      <c r="G14" s="262">
        <f>F14/$J$52</f>
        <v>0.0022011403731661814</v>
      </c>
      <c r="H14" s="398"/>
      <c r="I14" s="262"/>
      <c r="J14" s="398">
        <f>SUM(F14,D14,B14,'- 12 -'!J14,'- 12 -'!H14,'- 12 -'!F14,'- 12 -'!D14,'- 12 -'!B14)</f>
        <v>82026707.21000001</v>
      </c>
      <c r="K14" s="262">
        <f t="shared" si="0"/>
        <v>0.060873355395251155</v>
      </c>
    </row>
    <row r="15" spans="1:11" ht="12.75">
      <c r="A15" s="410" t="s">
        <v>376</v>
      </c>
      <c r="B15" s="398">
        <v>31830328.92</v>
      </c>
      <c r="C15" s="262">
        <f>B15/$J$52</f>
        <v>0.02362180551432257</v>
      </c>
      <c r="D15" s="398"/>
      <c r="E15" s="262">
        <f>D15/$J$52</f>
        <v>0</v>
      </c>
      <c r="F15" s="398"/>
      <c r="G15" s="262">
        <f>F15/$J$52</f>
        <v>0</v>
      </c>
      <c r="H15" s="398"/>
      <c r="I15" s="262"/>
      <c r="J15" s="398">
        <f>SUM(F15,D15,B15,'- 12 -'!J15,'- 12 -'!H15,'- 12 -'!F15,'- 12 -'!D15,'- 12 -'!B15)</f>
        <v>670396035.1299999</v>
      </c>
      <c r="K15" s="262">
        <f t="shared" si="0"/>
        <v>0.49751181645702636</v>
      </c>
    </row>
    <row r="16" spans="1:11" ht="12.75">
      <c r="A16" s="410" t="s">
        <v>377</v>
      </c>
      <c r="B16" s="398">
        <v>7616808.97</v>
      </c>
      <c r="C16" s="262">
        <f>B16/$J$52</f>
        <v>0.005652557992136752</v>
      </c>
      <c r="D16" s="398">
        <v>144359</v>
      </c>
      <c r="E16" s="262">
        <f>D16/$J$52</f>
        <v>0.00010713116508511692</v>
      </c>
      <c r="F16" s="398"/>
      <c r="G16" s="262">
        <f>F16/$J$52</f>
        <v>0</v>
      </c>
      <c r="H16" s="398"/>
      <c r="I16" s="262"/>
      <c r="J16" s="398">
        <f>SUM(F16,D16,B16,'- 12 -'!J16,'- 12 -'!H16,'- 12 -'!F16,'- 12 -'!D16,'- 12 -'!B16)</f>
        <v>100152688.16</v>
      </c>
      <c r="K16" s="262">
        <f t="shared" si="0"/>
        <v>0.07432494107736404</v>
      </c>
    </row>
    <row r="17" spans="1:11" ht="12.75">
      <c r="A17" s="410" t="s">
        <v>378</v>
      </c>
      <c r="B17" s="398">
        <v>4493726.93</v>
      </c>
      <c r="C17" s="262">
        <f>B17/$J$52</f>
        <v>0.0033348679443974097</v>
      </c>
      <c r="D17" s="398">
        <v>22534844.15</v>
      </c>
      <c r="E17" s="262">
        <f>D17/$J$52</f>
        <v>0.0167234748702958</v>
      </c>
      <c r="F17" s="398">
        <v>64014089.510000005</v>
      </c>
      <c r="G17" s="262">
        <f>F17/$J$52</f>
        <v>0.047505898427318435</v>
      </c>
      <c r="H17" s="398"/>
      <c r="I17" s="262"/>
      <c r="J17" s="398">
        <f>SUM(F17,D17,B17,'- 12 -'!J17,'- 12 -'!H17,'- 12 -'!F17,'- 12 -'!D17,'- 12 -'!B17)</f>
        <v>98665872.62</v>
      </c>
      <c r="K17" s="262">
        <f t="shared" si="0"/>
        <v>0.07322155104926148</v>
      </c>
    </row>
    <row r="18" spans="1:11" ht="12.75">
      <c r="A18" s="265" t="s">
        <v>379</v>
      </c>
      <c r="B18" s="399">
        <v>2782331</v>
      </c>
      <c r="C18" s="264">
        <f>B18/$J$52</f>
        <v>0.0020648131511193514</v>
      </c>
      <c r="D18" s="399">
        <v>750930.27</v>
      </c>
      <c r="E18" s="264">
        <f>D18/$J$52</f>
        <v>0.0005572775838207624</v>
      </c>
      <c r="F18" s="399">
        <v>851204.27</v>
      </c>
      <c r="G18" s="264">
        <f>F18/$J$52</f>
        <v>0.0006316925523904048</v>
      </c>
      <c r="H18" s="399"/>
      <c r="I18" s="264"/>
      <c r="J18" s="399">
        <f>SUM(F18,D18,B18,'- 12 -'!J18,'- 12 -'!H18,'- 12 -'!F18,'- 12 -'!D18,'- 12 -'!B18)</f>
        <v>41354367.3</v>
      </c>
      <c r="K18" s="264">
        <f t="shared" si="0"/>
        <v>0.030689749514798945</v>
      </c>
    </row>
    <row r="19" spans="1:11" ht="12.75">
      <c r="A19" s="265" t="s">
        <v>380</v>
      </c>
      <c r="B19" s="400"/>
      <c r="C19" s="264"/>
      <c r="D19" s="400"/>
      <c r="E19" s="264"/>
      <c r="F19" s="400"/>
      <c r="G19" s="264"/>
      <c r="H19" s="400"/>
      <c r="I19" s="264"/>
      <c r="J19" s="400">
        <f>SUM(F19,D19,B19,'- 12 -'!J19,'- 12 -'!H19,'- 12 -'!F19,'- 12 -'!D19,'- 12 -'!B19)</f>
        <v>15436363.049999999</v>
      </c>
      <c r="K19" s="264">
        <f t="shared" si="0"/>
        <v>0.011455576432528272</v>
      </c>
    </row>
    <row r="20" spans="1:11" ht="12.75">
      <c r="A20" s="457" t="s">
        <v>381</v>
      </c>
      <c r="B20" s="458">
        <v>398558</v>
      </c>
      <c r="C20" s="459">
        <f>B20/'- 13 -'!$J$52</f>
        <v>0.00029577638314198654</v>
      </c>
      <c r="D20" s="458">
        <v>0</v>
      </c>
      <c r="E20" s="459">
        <f>D20/'- 13 -'!$J$52</f>
        <v>0</v>
      </c>
      <c r="F20" s="458">
        <v>0</v>
      </c>
      <c r="G20" s="459">
        <f>F20/'- 13 -'!$J$52</f>
        <v>0</v>
      </c>
      <c r="H20" s="458"/>
      <c r="I20" s="459"/>
      <c r="J20" s="458">
        <f>SUM(F20,D20,B20,'- 12 -'!J20,'- 12 -'!H20,'- 12 -'!F20,'- 12 -'!D20,'- 12 -'!B20)</f>
        <v>7263610.43</v>
      </c>
      <c r="K20" s="459">
        <f t="shared" si="0"/>
        <v>0.005390443603033459</v>
      </c>
    </row>
    <row r="21" spans="1:11" ht="12.75">
      <c r="A21" s="463" t="s">
        <v>382</v>
      </c>
      <c r="B21" s="463">
        <f>SUM(B13:B20)</f>
        <v>49842707.92</v>
      </c>
      <c r="C21" s="464">
        <f>B21/$J$52</f>
        <v>0.03698908533909756</v>
      </c>
      <c r="D21" s="463">
        <f>SUM(D13:D20)</f>
        <v>24968190.18</v>
      </c>
      <c r="E21" s="464">
        <f>D21/$J$52</f>
        <v>0.018529300591235566</v>
      </c>
      <c r="F21" s="463">
        <f>SUM(F13:F20)</f>
        <v>67831325.4</v>
      </c>
      <c r="G21" s="464">
        <f>F21/$J$52</f>
        <v>0.050338731352875025</v>
      </c>
      <c r="H21" s="463"/>
      <c r="I21" s="464"/>
      <c r="J21" s="463">
        <f>SUM(F21,D21,B21,'- 12 -'!J21,'- 12 -'!H21,'- 12 -'!F21,'- 12 -'!D21,'- 12 -'!B21)</f>
        <v>1018246962.5199997</v>
      </c>
      <c r="K21" s="464">
        <f>J21/$J$52</f>
        <v>0.7556576551454981</v>
      </c>
    </row>
    <row r="22" spans="1:11" ht="12.75">
      <c r="A22" s="465" t="s">
        <v>212</v>
      </c>
      <c r="B22" s="463">
        <v>3825091.14</v>
      </c>
      <c r="C22" s="464">
        <f>B22/$J$52</f>
        <v>0.002838662434520592</v>
      </c>
      <c r="D22" s="463">
        <v>3299021.35</v>
      </c>
      <c r="E22" s="464">
        <f>D22/$J$52</f>
        <v>0.0024482574752261745</v>
      </c>
      <c r="F22" s="463">
        <v>9950081.19</v>
      </c>
      <c r="G22" s="464">
        <f>F22/$J$52</f>
        <v>0.007384117308766386</v>
      </c>
      <c r="H22" s="463"/>
      <c r="I22" s="464"/>
      <c r="J22" s="463">
        <f>SUM(F22,D22,B22,'- 12 -'!J22,'- 12 -'!H22,'- 12 -'!F22,'- 12 -'!D22,'- 12 -'!B22)</f>
        <v>81508553.48999998</v>
      </c>
      <c r="K22" s="464">
        <f>J22/$J$52</f>
        <v>0.0604888250804333</v>
      </c>
    </row>
    <row r="23" spans="1:11" ht="12.75">
      <c r="A23" s="465" t="s">
        <v>184</v>
      </c>
      <c r="B23" s="398"/>
      <c r="C23" s="262"/>
      <c r="D23" s="398"/>
      <c r="E23" s="262"/>
      <c r="F23" s="398"/>
      <c r="G23" s="262"/>
      <c r="H23" s="398"/>
      <c r="I23" s="262"/>
      <c r="J23" s="398"/>
      <c r="K23" s="262"/>
    </row>
    <row r="24" spans="1:11" ht="12.75">
      <c r="A24" s="265" t="s">
        <v>383</v>
      </c>
      <c r="B24" s="399">
        <v>1639910.71</v>
      </c>
      <c r="C24" s="264">
        <f aca="true" t="shared" si="1" ref="C24:C38">B24/$J$52</f>
        <v>0.0012170044472312866</v>
      </c>
      <c r="D24" s="399">
        <v>174563.28</v>
      </c>
      <c r="E24" s="264">
        <f aca="true" t="shared" si="2" ref="E24:E38">D24/$J$52</f>
        <v>0.00012954625321233516</v>
      </c>
      <c r="F24" s="399">
        <v>2747162.36</v>
      </c>
      <c r="G24" s="264">
        <f aca="true" t="shared" si="3" ref="G24:G38">F24/$J$52</f>
        <v>0.002038713930581255</v>
      </c>
      <c r="H24" s="399"/>
      <c r="I24" s="264"/>
      <c r="J24" s="399">
        <f>SUM(F24,D24,B24,'- 12 -'!J24,'- 12 -'!H24,'- 12 -'!F24,'- 12 -'!D24,'- 12 -'!B24)</f>
        <v>18150164.74</v>
      </c>
      <c r="K24" s="264">
        <f aca="true" t="shared" si="4" ref="K24:K38">J24/$J$52</f>
        <v>0.013469532866554964</v>
      </c>
    </row>
    <row r="25" spans="1:11" ht="12.75">
      <c r="A25" s="265" t="s">
        <v>384</v>
      </c>
      <c r="B25" s="399">
        <v>134239.04</v>
      </c>
      <c r="C25" s="264">
        <f t="shared" si="1"/>
        <v>9.962097794462151E-05</v>
      </c>
      <c r="D25" s="399">
        <v>222868.88</v>
      </c>
      <c r="E25" s="264">
        <f t="shared" si="2"/>
        <v>0.00016539462572901667</v>
      </c>
      <c r="F25" s="399">
        <v>1026380.48</v>
      </c>
      <c r="G25" s="264">
        <f t="shared" si="3"/>
        <v>0.0007616936709385736</v>
      </c>
      <c r="H25" s="399"/>
      <c r="I25" s="264"/>
      <c r="J25" s="399">
        <f>SUM(F25,D25,B25,'- 12 -'!J25,'- 12 -'!H25,'- 12 -'!F25,'- 12 -'!D25,'- 12 -'!B25)</f>
        <v>6585671.57</v>
      </c>
      <c r="K25" s="264">
        <f t="shared" si="4"/>
        <v>0.00488733413338989</v>
      </c>
    </row>
    <row r="26" spans="1:12" ht="12.75">
      <c r="A26" s="265" t="s">
        <v>385</v>
      </c>
      <c r="B26" s="399"/>
      <c r="C26" s="264">
        <f t="shared" si="1"/>
        <v>0</v>
      </c>
      <c r="D26" s="399"/>
      <c r="E26" s="264">
        <f t="shared" si="2"/>
        <v>0</v>
      </c>
      <c r="F26" s="399">
        <v>38136817.86000001</v>
      </c>
      <c r="G26" s="264">
        <f t="shared" si="3"/>
        <v>0.028301953670922468</v>
      </c>
      <c r="H26" s="399"/>
      <c r="I26" s="264"/>
      <c r="J26" s="399">
        <f>SUM(F26,D26,B26,'- 12 -'!J26,'- 12 -'!H26,'- 12 -'!F26,'- 12 -'!D26,'- 12 -'!B26)</f>
        <v>38189166.86000001</v>
      </c>
      <c r="K26" s="264">
        <f t="shared" si="4"/>
        <v>0.028340802716434285</v>
      </c>
      <c r="L26" s="544" t="s">
        <v>309</v>
      </c>
    </row>
    <row r="27" spans="1:12" ht="12.75" customHeight="1">
      <c r="A27" s="265" t="s">
        <v>411</v>
      </c>
      <c r="B27" s="399">
        <v>675259.95</v>
      </c>
      <c r="C27" s="264">
        <f t="shared" si="1"/>
        <v>0.0005011214069009746</v>
      </c>
      <c r="D27" s="399">
        <v>724884.51</v>
      </c>
      <c r="E27" s="264">
        <f t="shared" si="2"/>
        <v>0.0005379486011156498</v>
      </c>
      <c r="F27" s="399">
        <v>557267.65</v>
      </c>
      <c r="G27" s="264">
        <f t="shared" si="3"/>
        <v>0.00041355739932214246</v>
      </c>
      <c r="H27" s="399"/>
      <c r="I27" s="264"/>
      <c r="J27" s="399">
        <f>SUM(F27,D27,B27,'- 12 -'!J27,'- 12 -'!H27,'- 12 -'!F27,'- 12 -'!D27,'- 12 -'!B27)</f>
        <v>7226595.26</v>
      </c>
      <c r="K27" s="264">
        <f t="shared" si="4"/>
        <v>0.0053629740425078</v>
      </c>
      <c r="L27" s="545"/>
    </row>
    <row r="28" spans="1:12" ht="12.75" customHeight="1">
      <c r="A28" s="265" t="s">
        <v>386</v>
      </c>
      <c r="B28" s="399"/>
      <c r="C28" s="264">
        <f t="shared" si="1"/>
        <v>0</v>
      </c>
      <c r="D28" s="399">
        <v>11443073.52</v>
      </c>
      <c r="E28" s="264">
        <f t="shared" si="2"/>
        <v>0.008492091233329755</v>
      </c>
      <c r="F28" s="399"/>
      <c r="G28" s="264">
        <f t="shared" si="3"/>
        <v>0</v>
      </c>
      <c r="H28" s="399"/>
      <c r="I28" s="264"/>
      <c r="J28" s="399">
        <f>SUM(F28,D28,B28,'- 12 -'!J28,'- 12 -'!H28,'- 12 -'!F28,'- 12 -'!D28,'- 12 -'!B28)</f>
        <v>11443073.52</v>
      </c>
      <c r="K28" s="264">
        <f t="shared" si="4"/>
        <v>0.008492091233329755</v>
      </c>
      <c r="L28" s="545"/>
    </row>
    <row r="29" spans="1:11" ht="12.75" customHeight="1">
      <c r="A29" s="265" t="s">
        <v>387</v>
      </c>
      <c r="B29" s="399"/>
      <c r="C29" s="264">
        <f t="shared" si="1"/>
        <v>0</v>
      </c>
      <c r="D29" s="399"/>
      <c r="E29" s="264">
        <f t="shared" si="2"/>
        <v>0</v>
      </c>
      <c r="F29" s="399"/>
      <c r="G29" s="264">
        <f t="shared" si="3"/>
        <v>0</v>
      </c>
      <c r="H29" s="399"/>
      <c r="I29" s="264"/>
      <c r="J29" s="399">
        <f>SUM(F29,D29,B29,'- 12 -'!J29,'- 12 -'!H29,'- 12 -'!F29,'- 12 -'!D29,'- 12 -'!B29)</f>
        <v>486256.64</v>
      </c>
      <c r="K29" s="264">
        <f t="shared" si="4"/>
        <v>0.0003608589722398622</v>
      </c>
    </row>
    <row r="30" spans="1:11" ht="12.75" customHeight="1">
      <c r="A30" s="265" t="s">
        <v>388</v>
      </c>
      <c r="B30" s="399">
        <v>119486</v>
      </c>
      <c r="C30" s="264">
        <f t="shared" si="1"/>
        <v>8.867250667682847E-05</v>
      </c>
      <c r="D30" s="399"/>
      <c r="E30" s="264">
        <f t="shared" si="2"/>
        <v>0</v>
      </c>
      <c r="F30" s="399"/>
      <c r="G30" s="264">
        <f t="shared" si="3"/>
        <v>0</v>
      </c>
      <c r="H30" s="399"/>
      <c r="I30" s="264"/>
      <c r="J30" s="399">
        <f>SUM(F30,D30,B30,'- 12 -'!J30,'- 12 -'!H30,'- 12 -'!F30,'- 12 -'!D30,'- 12 -'!B30)</f>
        <v>1271237.6099999999</v>
      </c>
      <c r="K30" s="264">
        <f t="shared" si="4"/>
        <v>0.0009434061351167539</v>
      </c>
    </row>
    <row r="31" spans="1:11" ht="12.75" customHeight="1">
      <c r="A31" s="265" t="s">
        <v>389</v>
      </c>
      <c r="B31" s="399">
        <v>6999</v>
      </c>
      <c r="C31" s="264">
        <f t="shared" si="1"/>
        <v>5.194071893201902E-06</v>
      </c>
      <c r="D31" s="399">
        <v>825972.16</v>
      </c>
      <c r="E31" s="264">
        <f t="shared" si="2"/>
        <v>0.0006129673926022667</v>
      </c>
      <c r="F31" s="399">
        <v>4601668.47</v>
      </c>
      <c r="G31" s="264">
        <f t="shared" si="3"/>
        <v>0.0034149731192828115</v>
      </c>
      <c r="H31" s="399"/>
      <c r="I31" s="264"/>
      <c r="J31" s="399">
        <f>SUM(F31,D31,B31,'- 12 -'!J31,'- 12 -'!H31,'- 12 -'!F31,'- 12 -'!D31,'- 12 -'!B31)</f>
        <v>6302083.6</v>
      </c>
      <c r="K31" s="264">
        <f t="shared" si="4"/>
        <v>0.004676878882035813</v>
      </c>
    </row>
    <row r="32" spans="1:11" ht="12.75">
      <c r="A32" s="265" t="s">
        <v>390</v>
      </c>
      <c r="B32" s="399">
        <v>178435.77</v>
      </c>
      <c r="C32" s="264">
        <f t="shared" si="1"/>
        <v>0.0001324200911128503</v>
      </c>
      <c r="D32" s="399">
        <v>1235495.24</v>
      </c>
      <c r="E32" s="264">
        <f t="shared" si="2"/>
        <v>0.000916881140201277</v>
      </c>
      <c r="F32" s="399">
        <v>16017029.830000002</v>
      </c>
      <c r="G32" s="264">
        <f t="shared" si="3"/>
        <v>0.011886498707326682</v>
      </c>
      <c r="H32" s="399"/>
      <c r="I32" s="264"/>
      <c r="J32" s="399">
        <f>SUM(F32,D32,B32,'- 12 -'!J32,'- 12 -'!H32,'- 12 -'!F32,'- 12 -'!D32,'- 12 -'!B32)</f>
        <v>20681291.74</v>
      </c>
      <c r="K32" s="264">
        <f t="shared" si="4"/>
        <v>0.015347923437897221</v>
      </c>
    </row>
    <row r="33" spans="1:11" ht="12.75">
      <c r="A33" s="265" t="s">
        <v>391</v>
      </c>
      <c r="B33" s="399">
        <v>91130.2</v>
      </c>
      <c r="C33" s="264">
        <f t="shared" si="1"/>
        <v>6.762920566393312E-05</v>
      </c>
      <c r="D33" s="399">
        <v>251024.27</v>
      </c>
      <c r="E33" s="264">
        <f t="shared" si="2"/>
        <v>0.0001862891992168203</v>
      </c>
      <c r="F33" s="399">
        <v>2102172.82</v>
      </c>
      <c r="G33" s="264">
        <f t="shared" si="3"/>
        <v>0.0015600566879575626</v>
      </c>
      <c r="H33" s="399"/>
      <c r="I33" s="264"/>
      <c r="J33" s="399">
        <f>SUM(F33,D33,B33,'- 12 -'!J33,'- 12 -'!H33,'- 12 -'!F33,'- 12 -'!D33,'- 12 -'!B33)</f>
        <v>6101694.41</v>
      </c>
      <c r="K33" s="264">
        <f t="shared" si="4"/>
        <v>0.004528166800384079</v>
      </c>
    </row>
    <row r="34" spans="1:11" ht="12.75">
      <c r="A34" s="263" t="s">
        <v>392</v>
      </c>
      <c r="B34" s="399"/>
      <c r="C34" s="264">
        <f t="shared" si="1"/>
        <v>0</v>
      </c>
      <c r="D34" s="399"/>
      <c r="E34" s="264">
        <f t="shared" si="2"/>
        <v>0</v>
      </c>
      <c r="F34" s="399">
        <v>3758668.83</v>
      </c>
      <c r="G34" s="264">
        <f t="shared" si="3"/>
        <v>0.002789369356444789</v>
      </c>
      <c r="H34" s="399"/>
      <c r="I34" s="264"/>
      <c r="J34" s="399">
        <f>SUM(F34,D34,B34,'- 12 -'!J34,'- 12 -'!H34,'- 12 -'!F34,'- 12 -'!D34,'- 12 -'!B34)</f>
        <v>3760707.83</v>
      </c>
      <c r="K34" s="264">
        <f t="shared" si="4"/>
        <v>0.0027908825315541247</v>
      </c>
    </row>
    <row r="35" spans="1:11" ht="12.75">
      <c r="A35" s="265" t="s">
        <v>393</v>
      </c>
      <c r="B35" s="399">
        <v>5051.5</v>
      </c>
      <c r="C35" s="264">
        <f>B35/J52</f>
        <v>3.748800424133363E-06</v>
      </c>
      <c r="D35" s="399">
        <v>17797.03</v>
      </c>
      <c r="E35" s="264">
        <f>D35/J52</f>
        <v>1.3207465824470788E-05</v>
      </c>
      <c r="F35" s="399">
        <v>30534.58</v>
      </c>
      <c r="G35" s="264">
        <f>F35/J52</f>
        <v>2.26602091368374E-05</v>
      </c>
      <c r="H35" s="399"/>
      <c r="I35" s="264"/>
      <c r="J35" s="399">
        <f>SUM(F35,D35,B35,'- 12 -'!J35,'- 12 -'!H35,'- 12 -'!F35,'- 12 -'!D35,'- 12 -'!B35)</f>
        <v>1034394.98</v>
      </c>
      <c r="K35" s="264">
        <f t="shared" si="4"/>
        <v>0.000767641361921295</v>
      </c>
    </row>
    <row r="36" spans="1:11" ht="12.75">
      <c r="A36" s="265" t="s">
        <v>394</v>
      </c>
      <c r="B36" s="399">
        <v>130839.5</v>
      </c>
      <c r="C36" s="264">
        <f t="shared" si="1"/>
        <v>9.709812394207606E-05</v>
      </c>
      <c r="D36" s="399">
        <v>27155.2</v>
      </c>
      <c r="E36" s="264">
        <f t="shared" si="2"/>
        <v>2.0152316198639276E-05</v>
      </c>
      <c r="F36" s="399">
        <v>22749</v>
      </c>
      <c r="G36" s="264">
        <f t="shared" si="3"/>
        <v>1.6882403414552088E-05</v>
      </c>
      <c r="H36" s="399"/>
      <c r="I36" s="264"/>
      <c r="J36" s="399">
        <f>SUM(F36,D36,B36,'- 12 -'!J36,'- 12 -'!H36,'- 12 -'!F36,'- 12 -'!D36,'- 12 -'!B36)</f>
        <v>2126652.73</v>
      </c>
      <c r="K36" s="264">
        <f t="shared" si="4"/>
        <v>0.001578223627874567</v>
      </c>
    </row>
    <row r="37" spans="1:11" ht="12.75">
      <c r="A37" s="413" t="s">
        <v>395</v>
      </c>
      <c r="B37" s="399">
        <v>4299187.89</v>
      </c>
      <c r="C37" s="264">
        <f>B37/'- 13 -'!$J$52</f>
        <v>0.003190497354342476</v>
      </c>
      <c r="D37" s="399">
        <v>91383.74</v>
      </c>
      <c r="E37" s="264">
        <f>D37/'- 13 -'!$J$52</f>
        <v>6.781736182735682E-05</v>
      </c>
      <c r="F37" s="399">
        <v>76849.14</v>
      </c>
      <c r="G37" s="264">
        <f>F37/'- 13 -'!$J$52</f>
        <v>5.703099844131133E-05</v>
      </c>
      <c r="H37" s="399"/>
      <c r="I37" s="264"/>
      <c r="J37" s="399">
        <f>SUM(F37,D37,B37,'- 12 -'!J37,'- 12 -'!H37,'- 12 -'!F37,'- 12 -'!D37,'- 12 -'!B37)</f>
        <v>5616612.01</v>
      </c>
      <c r="K37" s="264">
        <f t="shared" si="4"/>
        <v>0.004168179250773145</v>
      </c>
    </row>
    <row r="38" spans="1:11" ht="12.75">
      <c r="A38" s="460" t="s">
        <v>396</v>
      </c>
      <c r="B38" s="458">
        <v>291714.54</v>
      </c>
      <c r="C38" s="459">
        <f t="shared" si="1"/>
        <v>0.00021648611130909015</v>
      </c>
      <c r="D38" s="458">
        <v>13102</v>
      </c>
      <c r="E38" s="459">
        <f t="shared" si="2"/>
        <v>9.723207593189216E-06</v>
      </c>
      <c r="F38" s="458">
        <v>26327.03</v>
      </c>
      <c r="G38" s="459">
        <f t="shared" si="3"/>
        <v>1.9537717753176636E-05</v>
      </c>
      <c r="H38" s="458"/>
      <c r="I38" s="459"/>
      <c r="J38" s="458">
        <f>SUM(F38,D38,B38,'- 12 -'!J38,'- 12 -'!H38,'- 12 -'!F38,'- 12 -'!D38,'- 12 -'!B38)</f>
        <v>4177512.3899999997</v>
      </c>
      <c r="K38" s="459">
        <f t="shared" si="4"/>
        <v>0.003100199984055108</v>
      </c>
    </row>
    <row r="39" spans="1:11" ht="12.75">
      <c r="A39" s="463" t="s">
        <v>397</v>
      </c>
      <c r="B39" s="463">
        <f>SUM(B24:B38)</f>
        <v>7572254.100000001</v>
      </c>
      <c r="C39" s="464">
        <f>B39/$J$52</f>
        <v>0.005619493097441473</v>
      </c>
      <c r="D39" s="463">
        <f>SUM(D24:D38)</f>
        <v>15027319.829999998</v>
      </c>
      <c r="E39" s="464">
        <f>D39/$J$52</f>
        <v>0.011152018796850776</v>
      </c>
      <c r="F39" s="463">
        <f>SUM(F24:F38)</f>
        <v>69103628.05000001</v>
      </c>
      <c r="G39" s="464">
        <f>F39/$J$52</f>
        <v>0.051282927871522166</v>
      </c>
      <c r="H39" s="463"/>
      <c r="I39" s="464"/>
      <c r="J39" s="463">
        <f>SUM(F39,D39,B39,'- 12 -'!J39,'- 12 -'!H39,'- 12 -'!F39,'- 12 -'!D39,'- 12 -'!B39)</f>
        <v>133153115.89</v>
      </c>
      <c r="K39" s="464">
        <f>J39/$J$52</f>
        <v>0.09881509597606866</v>
      </c>
    </row>
    <row r="40" spans="1:11" ht="12.75">
      <c r="A40" s="465" t="s">
        <v>398</v>
      </c>
      <c r="B40" s="466"/>
      <c r="C40" s="467"/>
      <c r="D40" s="466"/>
      <c r="E40" s="467"/>
      <c r="F40" s="466"/>
      <c r="G40" s="467"/>
      <c r="H40" s="466"/>
      <c r="I40" s="467"/>
      <c r="J40" s="466"/>
      <c r="K40" s="467"/>
    </row>
    <row r="41" spans="1:11" ht="12.75">
      <c r="A41" s="265" t="s">
        <v>399</v>
      </c>
      <c r="B41" s="263">
        <v>2689734.64</v>
      </c>
      <c r="C41" s="264">
        <f aca="true" t="shared" si="5" ref="C41:C46">B41/$J$52</f>
        <v>0.001996095884239968</v>
      </c>
      <c r="D41" s="414">
        <v>10181981.23</v>
      </c>
      <c r="E41" s="264">
        <f aca="true" t="shared" si="6" ref="E41:E46">D41/$J$52</f>
        <v>0.0075562141054225365</v>
      </c>
      <c r="F41" s="414">
        <v>12651705.21</v>
      </c>
      <c r="G41" s="264">
        <f aca="true" t="shared" si="7" ref="G41:G46">F41/$J$52</f>
        <v>0.009389036495547518</v>
      </c>
      <c r="H41" s="414"/>
      <c r="I41" s="264"/>
      <c r="J41" s="414">
        <f>SUM(F41,D41,B41,'- 12 -'!J41,'- 12 -'!H41,'- 12 -'!F41,'- 12 -'!D41,'- 12 -'!B41)</f>
        <v>49032280.22</v>
      </c>
      <c r="K41" s="264">
        <f aca="true" t="shared" si="8" ref="K41:K46">J41/$J$52</f>
        <v>0.036387653743435</v>
      </c>
    </row>
    <row r="42" spans="1:11" ht="12.75">
      <c r="A42" s="265" t="s">
        <v>400</v>
      </c>
      <c r="B42" s="263">
        <v>2693130.82</v>
      </c>
      <c r="C42" s="264">
        <f t="shared" si="5"/>
        <v>0.001998616244731789</v>
      </c>
      <c r="D42" s="414">
        <v>23918.04</v>
      </c>
      <c r="E42" s="264">
        <f t="shared" si="6"/>
        <v>1.774996703878823E-05</v>
      </c>
      <c r="F42" s="414">
        <v>75699</v>
      </c>
      <c r="G42" s="264">
        <f t="shared" si="7"/>
        <v>5.617746081490081E-05</v>
      </c>
      <c r="H42" s="414"/>
      <c r="I42" s="264"/>
      <c r="J42" s="414">
        <f>SUM(F42,D42,B42,'- 12 -'!J42,'- 12 -'!H42,'- 12 -'!F42,'- 12 -'!D42,'- 12 -'!B42)</f>
        <v>12813395.23</v>
      </c>
      <c r="K42" s="264">
        <f t="shared" si="8"/>
        <v>0.009509029292846168</v>
      </c>
    </row>
    <row r="43" spans="1:11" ht="12.75">
      <c r="A43" s="265" t="s">
        <v>401</v>
      </c>
      <c r="B43" s="263">
        <v>260657.22</v>
      </c>
      <c r="C43" s="264">
        <f t="shared" si="5"/>
        <v>0.00019343796830434987</v>
      </c>
      <c r="D43" s="414">
        <v>244055.92</v>
      </c>
      <c r="E43" s="264">
        <f t="shared" si="6"/>
        <v>0.00018111787318781712</v>
      </c>
      <c r="F43" s="414">
        <v>1905240.54</v>
      </c>
      <c r="G43" s="264">
        <f t="shared" si="7"/>
        <v>0.001413910035519762</v>
      </c>
      <c r="H43" s="414"/>
      <c r="I43" s="264"/>
      <c r="J43" s="414">
        <f>SUM(F43,D43,B43,'- 12 -'!J43,'- 12 -'!H43,'- 12 -'!F43,'- 12 -'!D43,'- 12 -'!B43)</f>
        <v>10671065.34</v>
      </c>
      <c r="K43" s="264">
        <f t="shared" si="8"/>
        <v>0.0079191713892006</v>
      </c>
    </row>
    <row r="44" spans="1:11" ht="12.75">
      <c r="A44" s="265" t="s">
        <v>402</v>
      </c>
      <c r="B44" s="263"/>
      <c r="C44" s="264">
        <f t="shared" si="5"/>
        <v>0</v>
      </c>
      <c r="D44" s="414">
        <v>20277</v>
      </c>
      <c r="E44" s="264">
        <f t="shared" si="6"/>
        <v>1.5047891952915412E-05</v>
      </c>
      <c r="F44" s="414">
        <v>42402</v>
      </c>
      <c r="G44" s="264">
        <f t="shared" si="7"/>
        <v>3.1467214804335915E-05</v>
      </c>
      <c r="H44" s="414"/>
      <c r="I44" s="264"/>
      <c r="J44" s="414">
        <f>SUM(F44,D44,B44,'- 12 -'!J44,'- 12 -'!H44,'- 12 -'!F44,'- 12 -'!D44,'- 12 -'!B44)</f>
        <v>206349.3</v>
      </c>
      <c r="K44" s="264">
        <f t="shared" si="8"/>
        <v>0.00015313517635546324</v>
      </c>
    </row>
    <row r="45" spans="1:11" ht="12.75">
      <c r="A45" s="460" t="s">
        <v>403</v>
      </c>
      <c r="B45" s="461">
        <v>719041.53</v>
      </c>
      <c r="C45" s="459">
        <f t="shared" si="5"/>
        <v>0.0005336124304926264</v>
      </c>
      <c r="D45" s="462">
        <v>27720</v>
      </c>
      <c r="E45" s="459">
        <f t="shared" si="6"/>
        <v>2.057146347757633E-05</v>
      </c>
      <c r="F45" s="462">
        <v>78793.2</v>
      </c>
      <c r="G45" s="459">
        <f t="shared" si="7"/>
        <v>5.847371703035235E-05</v>
      </c>
      <c r="H45" s="462"/>
      <c r="I45" s="459"/>
      <c r="J45" s="462">
        <f>SUM(F45,D45,B45,'- 12 -'!J45,'- 12 -'!H45,'- 12 -'!F45,'- 12 -'!D45,'- 12 -'!B45)</f>
        <v>17902637.42</v>
      </c>
      <c r="K45" s="459">
        <f t="shared" si="8"/>
        <v>0.013285838810888215</v>
      </c>
    </row>
    <row r="46" spans="1:11" ht="12.75">
      <c r="A46" s="463" t="s">
        <v>404</v>
      </c>
      <c r="B46" s="463">
        <f>SUM(B41:B45)</f>
        <v>6362564.21</v>
      </c>
      <c r="C46" s="464">
        <f t="shared" si="5"/>
        <v>0.004721762527768733</v>
      </c>
      <c r="D46" s="463">
        <f>SUM(D41:D45)</f>
        <v>10497952.19</v>
      </c>
      <c r="E46" s="464">
        <f t="shared" si="6"/>
        <v>0.007790701301079633</v>
      </c>
      <c r="F46" s="463">
        <f>SUM(F41:F45)</f>
        <v>14753839.95</v>
      </c>
      <c r="G46" s="464">
        <f t="shared" si="7"/>
        <v>0.010949064923716867</v>
      </c>
      <c r="H46" s="463"/>
      <c r="I46" s="464"/>
      <c r="J46" s="463">
        <f>SUM(F46,D46,B46,'- 12 -'!J46,'- 12 -'!H46,'- 12 -'!F46,'- 12 -'!D46,'- 12 -'!B46)</f>
        <v>90625727.50999999</v>
      </c>
      <c r="K46" s="464">
        <f t="shared" si="8"/>
        <v>0.06725482841272544</v>
      </c>
    </row>
    <row r="47" spans="1:11" ht="12.75">
      <c r="A47" s="465" t="s">
        <v>125</v>
      </c>
      <c r="B47" s="466"/>
      <c r="C47" s="467"/>
      <c r="D47" s="466"/>
      <c r="E47" s="467"/>
      <c r="F47" s="466"/>
      <c r="G47" s="467"/>
      <c r="H47" s="466"/>
      <c r="I47" s="467"/>
      <c r="J47" s="466"/>
      <c r="K47" s="467"/>
    </row>
    <row r="48" spans="1:11" ht="12.75">
      <c r="A48" s="265" t="s">
        <v>405</v>
      </c>
      <c r="B48" s="263"/>
      <c r="C48" s="264"/>
      <c r="D48" s="263"/>
      <c r="E48" s="264"/>
      <c r="F48" s="263"/>
      <c r="G48" s="264"/>
      <c r="H48" s="263">
        <f>'- 10 -'!G23</f>
        <v>1981920.75</v>
      </c>
      <c r="I48" s="264">
        <f>H48/$J$52</f>
        <v>0.0014708156682566986</v>
      </c>
      <c r="J48" s="263">
        <f>H48</f>
        <v>1981920.75</v>
      </c>
      <c r="K48" s="264">
        <f>J48/$J$52</f>
        <v>0.0014708156682566986</v>
      </c>
    </row>
    <row r="49" spans="1:11" ht="12.75">
      <c r="A49" s="265" t="s">
        <v>406</v>
      </c>
      <c r="B49" s="263"/>
      <c r="C49" s="264"/>
      <c r="D49" s="263"/>
      <c r="E49" s="264"/>
      <c r="F49" s="263"/>
      <c r="G49" s="264"/>
      <c r="H49" s="263">
        <f>'- 10 -'!H23</f>
        <v>21981433.369999997</v>
      </c>
      <c r="I49" s="264">
        <f>H49/$J$52</f>
        <v>0.016312779717017768</v>
      </c>
      <c r="J49" s="263">
        <f>H49</f>
        <v>21981433.369999997</v>
      </c>
      <c r="K49" s="264">
        <f>J49/$J$52</f>
        <v>0.016312779717017768</v>
      </c>
    </row>
    <row r="50" spans="1:11" ht="12.75">
      <c r="A50" s="463" t="s">
        <v>407</v>
      </c>
      <c r="B50" s="463"/>
      <c r="C50" s="464"/>
      <c r="D50" s="463"/>
      <c r="E50" s="464"/>
      <c r="F50" s="463"/>
      <c r="G50" s="464"/>
      <c r="H50" s="463">
        <f>SUM(H48:H49)</f>
        <v>23963354.119999997</v>
      </c>
      <c r="I50" s="464">
        <f>H50/$J$52</f>
        <v>0.017783595385274464</v>
      </c>
      <c r="J50" s="463">
        <f>SUM(H50,D50)</f>
        <v>23963354.119999997</v>
      </c>
      <c r="K50" s="464">
        <f>J50/$J$52</f>
        <v>0.017783595385274464</v>
      </c>
    </row>
    <row r="51" spans="1:11" ht="4.5" customHeight="1">
      <c r="A51" s="324"/>
      <c r="B51" s="453"/>
      <c r="C51" s="188"/>
      <c r="D51" s="124"/>
      <c r="E51" s="188"/>
      <c r="F51" s="124"/>
      <c r="G51" s="188"/>
      <c r="H51" s="124"/>
      <c r="I51" s="188"/>
      <c r="J51" s="124"/>
      <c r="K51" s="188"/>
    </row>
    <row r="52" spans="1:11" ht="12.75">
      <c r="A52" s="411" t="s">
        <v>408</v>
      </c>
      <c r="B52" s="411">
        <f>SUM(B50,B46,B39,B22,B21)</f>
        <v>67602617.37</v>
      </c>
      <c r="C52" s="412">
        <f>B52/$J$52</f>
        <v>0.05016900339882836</v>
      </c>
      <c r="D52" s="411">
        <f>SUM(D50,D46,D39,D22,D21)</f>
        <v>53792483.55</v>
      </c>
      <c r="E52" s="412">
        <f>D52/$J$52</f>
        <v>0.03992027816439215</v>
      </c>
      <c r="F52" s="411">
        <f>SUM(F50,F46,F39,F22,F21)</f>
        <v>161638874.59000003</v>
      </c>
      <c r="G52" s="412">
        <f>F52/$J$52</f>
        <v>0.11995484145688046</v>
      </c>
      <c r="H52" s="411">
        <f>SUM(H50,H46,H39,H22,H21)</f>
        <v>23963354.119999997</v>
      </c>
      <c r="I52" s="412">
        <f>H52/$J$52</f>
        <v>0.017783595385274464</v>
      </c>
      <c r="J52" s="411">
        <f>SUM(J50,J46,J39,J22,J21)</f>
        <v>1347497713.5299997</v>
      </c>
      <c r="K52" s="412">
        <f>J52/$J$52</f>
        <v>1</v>
      </c>
    </row>
    <row r="53" ht="6" customHeight="1"/>
  </sheetData>
  <mergeCells count="1">
    <mergeCell ref="L26:L28"/>
  </mergeCells>
  <printOptions verticalCentered="1"/>
  <pageMargins left="0.8" right="0" top="0.5" bottom="0.5" header="0" footer="0"/>
  <pageSetup fitToHeight="1" fitToWidth="1" horizontalDpi="300" verticalDpi="300" orientation="landscape" scale="8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9"/>
  <sheetViews>
    <sheetView showGridLines="0" showZeros="0" workbookViewId="0" topLeftCell="A1">
      <selection activeCell="A1" sqref="A1"/>
    </sheetView>
  </sheetViews>
  <sheetFormatPr defaultColWidth="15.83203125" defaultRowHeight="12"/>
  <cols>
    <col min="1" max="1" width="34.83203125" style="67" customWidth="1"/>
    <col min="2" max="2" width="17.83203125" style="67" customWidth="1"/>
    <col min="3" max="3" width="8.83203125" style="67" customWidth="1"/>
    <col min="4" max="4" width="9.83203125" style="67" customWidth="1"/>
    <col min="5" max="5" width="17.83203125" style="67" customWidth="1"/>
    <col min="6" max="6" width="8.83203125" style="67" customWidth="1"/>
    <col min="7" max="7" width="9.83203125" style="67" customWidth="1"/>
    <col min="8" max="8" width="17.83203125" style="67" customWidth="1"/>
    <col min="9" max="9" width="8.83203125" style="67" customWidth="1"/>
    <col min="10" max="16384" width="15.83203125" style="67" customWidth="1"/>
  </cols>
  <sheetData>
    <row r="1" spans="1:9" ht="6.75" customHeight="1">
      <c r="A1" s="12"/>
      <c r="B1" s="43"/>
      <c r="C1" s="43"/>
      <c r="D1" s="43"/>
      <c r="E1" s="43"/>
      <c r="F1" s="43"/>
      <c r="G1" s="43"/>
      <c r="H1" s="43"/>
      <c r="I1" s="43"/>
    </row>
    <row r="2" spans="1:9" ht="15.75" customHeight="1">
      <c r="A2" s="331"/>
      <c r="B2" s="360" t="s">
        <v>13</v>
      </c>
      <c r="C2" s="44"/>
      <c r="D2" s="44"/>
      <c r="E2" s="44"/>
      <c r="F2" s="44"/>
      <c r="G2" s="44"/>
      <c r="H2" s="45"/>
      <c r="I2" s="336" t="s">
        <v>14</v>
      </c>
    </row>
    <row r="3" spans="1:9" ht="15.75" customHeight="1">
      <c r="A3" s="332"/>
      <c r="B3" s="456" t="str">
        <f>OPYEAR</f>
        <v>OPERATING FUND 2002/2003 ACTUAL</v>
      </c>
      <c r="C3" s="47"/>
      <c r="D3" s="47"/>
      <c r="E3" s="47"/>
      <c r="F3" s="47"/>
      <c r="G3" s="47"/>
      <c r="H3" s="48"/>
      <c r="I3" s="49"/>
    </row>
    <row r="4" spans="1:9" ht="15.75" customHeight="1">
      <c r="A4" s="9"/>
      <c r="B4" s="43"/>
      <c r="C4" s="43"/>
      <c r="D4" s="43"/>
      <c r="E4" s="43"/>
      <c r="F4" s="43"/>
      <c r="G4" s="43"/>
      <c r="H4" s="43"/>
      <c r="I4" s="43"/>
    </row>
    <row r="5" spans="1:9" ht="15.75" customHeight="1">
      <c r="A5" s="9"/>
      <c r="B5" s="43"/>
      <c r="C5" s="43"/>
      <c r="D5" s="43"/>
      <c r="E5" s="43"/>
      <c r="F5" s="43"/>
      <c r="G5" s="43"/>
      <c r="H5" s="43"/>
      <c r="I5" s="43"/>
    </row>
    <row r="6" spans="1:9" ht="15.75" customHeight="1">
      <c r="A6" s="9"/>
      <c r="B6" s="50"/>
      <c r="C6" s="51"/>
      <c r="D6" s="52"/>
      <c r="E6" s="53"/>
      <c r="F6" s="51"/>
      <c r="G6" s="52"/>
      <c r="H6" s="53" t="s">
        <v>284</v>
      </c>
      <c r="I6" s="52"/>
    </row>
    <row r="7" spans="1:9" ht="15.75" customHeight="1">
      <c r="A7" s="9"/>
      <c r="B7" s="54" t="s">
        <v>74</v>
      </c>
      <c r="C7" s="55"/>
      <c r="D7" s="56"/>
      <c r="E7" s="54" t="s">
        <v>75</v>
      </c>
      <c r="F7" s="55"/>
      <c r="G7" s="56"/>
      <c r="H7" s="54" t="s">
        <v>371</v>
      </c>
      <c r="I7" s="56"/>
    </row>
    <row r="8" spans="1:9" ht="15.75" customHeight="1">
      <c r="A8" s="313"/>
      <c r="B8" s="59" t="s">
        <v>15</v>
      </c>
      <c r="C8" s="57"/>
      <c r="D8" s="58" t="s">
        <v>87</v>
      </c>
      <c r="E8" s="59"/>
      <c r="F8" s="58"/>
      <c r="G8" s="58" t="s">
        <v>87</v>
      </c>
      <c r="H8" s="59"/>
      <c r="I8" s="58"/>
    </row>
    <row r="9" spans="1:9" ht="15.75" customHeight="1">
      <c r="A9" s="314" t="s">
        <v>112</v>
      </c>
      <c r="B9" s="61" t="s">
        <v>113</v>
      </c>
      <c r="C9" s="61" t="s">
        <v>114</v>
      </c>
      <c r="D9" s="61" t="s">
        <v>115</v>
      </c>
      <c r="E9" s="61" t="s">
        <v>113</v>
      </c>
      <c r="F9" s="61" t="s">
        <v>114</v>
      </c>
      <c r="G9" s="61" t="s">
        <v>115</v>
      </c>
      <c r="H9" s="61" t="s">
        <v>113</v>
      </c>
      <c r="I9" s="61" t="s">
        <v>114</v>
      </c>
    </row>
    <row r="10" spans="1:9" ht="4.5" customHeight="1">
      <c r="A10" s="62"/>
      <c r="B10" s="9"/>
      <c r="C10" s="9"/>
      <c r="D10" s="9"/>
      <c r="E10" s="9"/>
      <c r="F10" s="9"/>
      <c r="G10" s="9"/>
      <c r="H10" s="9"/>
      <c r="I10" s="9"/>
    </row>
    <row r="11" spans="1:9" ht="13.5" customHeight="1">
      <c r="A11" s="387" t="s">
        <v>327</v>
      </c>
      <c r="B11" s="362">
        <f>SUM('- 18 -'!B11,'- 18 -'!E11,'- 19 -'!B11,'- 19 -'!E11,'- 19 -'!H11,'- 20 -'!B11)</f>
        <v>6706866</v>
      </c>
      <c r="C11" s="278">
        <f>B11/'- 3 -'!D11</f>
        <v>0.6003447979657696</v>
      </c>
      <c r="D11" s="362">
        <f>B11/'- 7 -'!C11</f>
        <v>4232.79646576207</v>
      </c>
      <c r="E11" s="362">
        <f>SUM('- 21 -'!B11,'- 21 -'!E11,'- 21 -'!H11,'- 22 -'!B11,'- 22 -'!E11,'- 22 -'!H11)</f>
        <v>1326849</v>
      </c>
      <c r="F11" s="278">
        <f>E11/'- 3 -'!D11</f>
        <v>0.11876886981730117</v>
      </c>
      <c r="G11" s="362">
        <f>E11/'- 7 -'!F11</f>
        <v>817.7805855161787</v>
      </c>
      <c r="H11" s="362">
        <f>SUM('- 23 -'!D11,'- 23 -'!B11)</f>
        <v>0</v>
      </c>
      <c r="I11" s="278">
        <f>H11/'- 3 -'!D11</f>
        <v>0</v>
      </c>
    </row>
    <row r="12" spans="1:9" ht="13.5" customHeight="1">
      <c r="A12" s="388" t="s">
        <v>328</v>
      </c>
      <c r="B12" s="361">
        <f>SUM('- 18 -'!B12,'- 18 -'!E12,'- 19 -'!B12,'- 19 -'!E12,'- 19 -'!H12,'- 20 -'!B12)</f>
        <v>10437073</v>
      </c>
      <c r="C12" s="279">
        <f>B12/'- 3 -'!D12</f>
        <v>0.5685749303191427</v>
      </c>
      <c r="D12" s="361">
        <f>B12/'- 7 -'!C12</f>
        <v>4441.496659432316</v>
      </c>
      <c r="E12" s="361">
        <f>SUM('- 21 -'!B12,'- 21 -'!E12,'- 21 -'!H12,'- 22 -'!B12,'- 22 -'!E12,'- 22 -'!H12)</f>
        <v>2276697</v>
      </c>
      <c r="F12" s="279">
        <f>E12/'- 3 -'!D12</f>
        <v>0.12402642370450043</v>
      </c>
      <c r="G12" s="361">
        <f>E12/'- 7 -'!F12</f>
        <v>968.8484616366653</v>
      </c>
      <c r="H12" s="361">
        <f>SUM('- 23 -'!D12,'- 23 -'!B12)</f>
        <v>473140</v>
      </c>
      <c r="I12" s="279">
        <f>H12/'- 3 -'!D12</f>
        <v>0.025774998654431107</v>
      </c>
    </row>
    <row r="13" spans="1:9" ht="13.5" customHeight="1">
      <c r="A13" s="387" t="s">
        <v>329</v>
      </c>
      <c r="B13" s="362">
        <f>SUM('- 18 -'!B13,'- 18 -'!E13,'- 19 -'!B13,'- 19 -'!E13,'- 19 -'!H13,'- 20 -'!B13)</f>
        <v>28530721</v>
      </c>
      <c r="C13" s="278">
        <f>B13/'- 3 -'!D13</f>
        <v>0.6131409702477478</v>
      </c>
      <c r="D13" s="362">
        <f>B13/'- 7 -'!C13</f>
        <v>4016.1487894144143</v>
      </c>
      <c r="E13" s="362">
        <f>SUM('- 21 -'!B13,'- 21 -'!E13,'- 21 -'!H13,'- 22 -'!B13,'- 22 -'!E13,'- 22 -'!H13)</f>
        <v>6900572</v>
      </c>
      <c r="F13" s="278">
        <f>E13/'- 3 -'!D13</f>
        <v>0.14829710792602968</v>
      </c>
      <c r="G13" s="362">
        <f>E13/'- 7 -'!F13</f>
        <v>946.1911421911421</v>
      </c>
      <c r="H13" s="362">
        <f>SUM('- 23 -'!D13,'- 23 -'!B13)</f>
        <v>0</v>
      </c>
      <c r="I13" s="278">
        <f>H13/'- 3 -'!D13</f>
        <v>0</v>
      </c>
    </row>
    <row r="14" spans="1:9" ht="13.5" customHeight="1">
      <c r="A14" s="388" t="s">
        <v>366</v>
      </c>
      <c r="B14" s="361">
        <f>SUM('- 18 -'!B14,'- 18 -'!E14,'- 19 -'!B14,'- 19 -'!E14,'- 19 -'!H14,'- 20 -'!B14)</f>
        <v>22293594</v>
      </c>
      <c r="C14" s="279">
        <f>B14/'- 3 -'!D14</f>
        <v>0.5646631356045967</v>
      </c>
      <c r="D14" s="361">
        <f>B14/'- 7 -'!C14</f>
        <v>5281.966024593077</v>
      </c>
      <c r="E14" s="361">
        <f>SUM('- 21 -'!B14,'- 21 -'!E14,'- 21 -'!H14,'- 22 -'!B14,'- 22 -'!E14,'- 22 -'!H14)</f>
        <v>4382202</v>
      </c>
      <c r="F14" s="279">
        <f>E14/'- 3 -'!D14</f>
        <v>0.1109945719013603</v>
      </c>
      <c r="G14" s="361">
        <f>E14/'- 7 -'!F14</f>
        <v>1024.0703869882223</v>
      </c>
      <c r="H14" s="361">
        <f>SUM('- 23 -'!D14,'- 23 -'!B14)</f>
        <v>0</v>
      </c>
      <c r="I14" s="279">
        <f>H14/'- 3 -'!D14</f>
        <v>0</v>
      </c>
    </row>
    <row r="15" spans="1:9" ht="13.5" customHeight="1">
      <c r="A15" s="387" t="s">
        <v>330</v>
      </c>
      <c r="B15" s="362">
        <f>SUM('- 18 -'!B15,'- 18 -'!E15,'- 19 -'!B15,'- 19 -'!E15,'- 19 -'!H15,'- 20 -'!B15)</f>
        <v>7376324</v>
      </c>
      <c r="C15" s="278">
        <f>B15/'- 3 -'!D15</f>
        <v>0.5874948110621305</v>
      </c>
      <c r="D15" s="362">
        <f>B15/'- 7 -'!C15</f>
        <v>4375.043890865955</v>
      </c>
      <c r="E15" s="362">
        <f>SUM('- 21 -'!B15,'- 21 -'!E15,'- 21 -'!H15,'- 22 -'!B15,'- 22 -'!E15,'- 22 -'!H15)</f>
        <v>1379634</v>
      </c>
      <c r="F15" s="278">
        <f>E15/'- 3 -'!D15</f>
        <v>0.10988235009266017</v>
      </c>
      <c r="G15" s="362">
        <f>E15/'- 7 -'!F15</f>
        <v>818.288256227758</v>
      </c>
      <c r="H15" s="362">
        <f>SUM('- 23 -'!D15,'- 23 -'!B15)</f>
        <v>95533</v>
      </c>
      <c r="I15" s="278">
        <f>H15/'- 3 -'!D15</f>
        <v>0.0076088227395106995</v>
      </c>
    </row>
    <row r="16" spans="1:9" ht="13.5" customHeight="1">
      <c r="A16" s="388" t="s">
        <v>331</v>
      </c>
      <c r="B16" s="361">
        <f>SUM('- 18 -'!B16,'- 18 -'!E16,'- 19 -'!B16,'- 19 -'!E16,'- 19 -'!H16,'- 20 -'!B16)</f>
        <v>6851001</v>
      </c>
      <c r="C16" s="279">
        <f>B16/'- 3 -'!D16</f>
        <v>0.6353020739906572</v>
      </c>
      <c r="D16" s="361">
        <f>B16/'- 7 -'!C16</f>
        <v>4882.690717828839</v>
      </c>
      <c r="E16" s="361">
        <f>SUM('- 21 -'!B16,'- 21 -'!E16,'- 21 -'!H16,'- 22 -'!B16,'- 22 -'!E16,'- 22 -'!H16)</f>
        <v>1017773</v>
      </c>
      <c r="F16" s="279">
        <f>E16/'- 3 -'!D16</f>
        <v>0.09437939036232706</v>
      </c>
      <c r="G16" s="361">
        <f>E16/'- 7 -'!F16</f>
        <v>722.2756046326786</v>
      </c>
      <c r="H16" s="361">
        <f>SUM('- 23 -'!D16,'- 23 -'!B16)</f>
        <v>0</v>
      </c>
      <c r="I16" s="279">
        <f>H16/'- 3 -'!D16</f>
        <v>0</v>
      </c>
    </row>
    <row r="17" spans="1:9" ht="13.5" customHeight="1">
      <c r="A17" s="387" t="s">
        <v>332</v>
      </c>
      <c r="B17" s="362">
        <f>SUM('- 18 -'!B17,'- 18 -'!E17,'- 19 -'!B17,'- 19 -'!E17,'- 19 -'!H17,'- 20 -'!B17)</f>
        <v>7164740</v>
      </c>
      <c r="C17" s="278">
        <f>B17/'- 3 -'!D17</f>
        <v>0.5820885069866967</v>
      </c>
      <c r="D17" s="362">
        <f>B17/'- 7 -'!C17</f>
        <v>4561.552957954516</v>
      </c>
      <c r="E17" s="362">
        <f>SUM('- 21 -'!B17,'- 21 -'!E17,'- 21 -'!H17,'- 22 -'!B17,'- 22 -'!E17,'- 22 -'!H17)</f>
        <v>1406569</v>
      </c>
      <c r="F17" s="278">
        <f>E17/'- 3 -'!D17</f>
        <v>0.11427457928463154</v>
      </c>
      <c r="G17" s="362">
        <f>E17/'- 7 -'!F17</f>
        <v>895.5159548730486</v>
      </c>
      <c r="H17" s="362">
        <f>SUM('- 23 -'!D17,'- 23 -'!B17)</f>
        <v>1691</v>
      </c>
      <c r="I17" s="278">
        <f>H17/'- 3 -'!D17</f>
        <v>0.00013738274735922086</v>
      </c>
    </row>
    <row r="18" spans="1:9" ht="13.5" customHeight="1">
      <c r="A18" s="388" t="s">
        <v>333</v>
      </c>
      <c r="B18" s="361">
        <f>SUM('- 18 -'!B18,'- 18 -'!E18,'- 19 -'!B18,'- 19 -'!E18,'- 19 -'!H18,'- 20 -'!B18)</f>
        <v>32812319</v>
      </c>
      <c r="C18" s="279">
        <f>B18/'- 3 -'!D18</f>
        <v>0.4536467860355073</v>
      </c>
      <c r="D18" s="361">
        <f>B18/'- 7 -'!C18</f>
        <v>5537.944135021097</v>
      </c>
      <c r="E18" s="361">
        <f>SUM('- 21 -'!B18,'- 21 -'!E18,'- 21 -'!H18,'- 22 -'!B18,'- 22 -'!E18,'- 22 -'!H18)</f>
        <v>10157398.49</v>
      </c>
      <c r="F18" s="279">
        <f>E18/'- 3 -'!D18</f>
        <v>0.14043113440017496</v>
      </c>
      <c r="G18" s="361">
        <f>E18/'- 7 -'!F18</f>
        <v>1713.1722870635858</v>
      </c>
      <c r="H18" s="361">
        <f>SUM('- 23 -'!D18,'- 23 -'!B18)</f>
        <v>1279274</v>
      </c>
      <c r="I18" s="279">
        <f>H18/'- 3 -'!D18</f>
        <v>0.01768660540447591</v>
      </c>
    </row>
    <row r="19" spans="1:9" ht="13.5" customHeight="1">
      <c r="A19" s="387" t="s">
        <v>334</v>
      </c>
      <c r="B19" s="362">
        <f>SUM('- 18 -'!B19,'- 18 -'!E19,'- 19 -'!B19,'- 19 -'!E19,'- 19 -'!H19,'- 20 -'!B19)</f>
        <v>11418871</v>
      </c>
      <c r="C19" s="278">
        <f>B19/'- 3 -'!D19</f>
        <v>0.6458408038447503</v>
      </c>
      <c r="D19" s="362">
        <f>B19/'- 7 -'!C19</f>
        <v>3993.8690497009547</v>
      </c>
      <c r="E19" s="362">
        <f>SUM('- 21 -'!B19,'- 21 -'!E19,'- 21 -'!H19,'- 22 -'!B19,'- 22 -'!E19,'- 22 -'!H19)</f>
        <v>2356963</v>
      </c>
      <c r="F19" s="278">
        <f>E19/'- 3 -'!D19</f>
        <v>0.13330765174178202</v>
      </c>
      <c r="G19" s="362">
        <f>E19/'- 7 -'!F19</f>
        <v>805.1661941037817</v>
      </c>
      <c r="H19" s="362">
        <f>SUM('- 23 -'!D19,'- 23 -'!B19)</f>
        <v>0</v>
      </c>
      <c r="I19" s="278">
        <f>H19/'- 3 -'!D19</f>
        <v>0</v>
      </c>
    </row>
    <row r="20" spans="1:9" ht="13.5" customHeight="1">
      <c r="A20" s="388" t="s">
        <v>335</v>
      </c>
      <c r="B20" s="361">
        <f>SUM('- 18 -'!B20,'- 18 -'!E20,'- 19 -'!B20,'- 19 -'!E20,'- 19 -'!H20,'- 20 -'!B20)</f>
        <v>21660877</v>
      </c>
      <c r="C20" s="279">
        <f>B20/'- 3 -'!D20</f>
        <v>0.6478003790944201</v>
      </c>
      <c r="D20" s="361">
        <f>B20/'- 7 -'!C20</f>
        <v>3541.673806409418</v>
      </c>
      <c r="E20" s="361">
        <f>SUM('- 21 -'!B20,'- 21 -'!E20,'- 21 -'!H20,'- 22 -'!B20,'- 22 -'!E20,'- 22 -'!H20)</f>
        <v>3276752</v>
      </c>
      <c r="F20" s="279">
        <f>E20/'- 3 -'!D20</f>
        <v>0.09799608703739923</v>
      </c>
      <c r="G20" s="361">
        <f>E20/'- 7 -'!F20</f>
        <v>535.3295213200457</v>
      </c>
      <c r="H20" s="361">
        <f>SUM('- 23 -'!D20,'- 23 -'!B20)</f>
        <v>0</v>
      </c>
      <c r="I20" s="279">
        <f>H20/'- 3 -'!D20</f>
        <v>0</v>
      </c>
    </row>
    <row r="21" spans="1:9" ht="13.5" customHeight="1">
      <c r="A21" s="387" t="s">
        <v>336</v>
      </c>
      <c r="B21" s="362">
        <f>SUM('- 18 -'!B21,'- 18 -'!E21,'- 19 -'!B21,'- 19 -'!E21,'- 19 -'!H21,'- 20 -'!B21)</f>
        <v>13596519</v>
      </c>
      <c r="C21" s="278">
        <f>B21/'- 3 -'!D21</f>
        <v>0.5844603194704259</v>
      </c>
      <c r="D21" s="362">
        <f>B21/'- 7 -'!C21</f>
        <v>4133.434364929774</v>
      </c>
      <c r="E21" s="362">
        <f>SUM('- 21 -'!B21,'- 21 -'!E21,'- 21 -'!H21,'- 22 -'!B21,'- 22 -'!E21,'- 22 -'!H21)</f>
        <v>2856410</v>
      </c>
      <c r="F21" s="278">
        <f>E21/'- 3 -'!D21</f>
        <v>0.12278571457433475</v>
      </c>
      <c r="G21" s="362">
        <f>E21/'- 7 -'!F21</f>
        <v>863.1202030579561</v>
      </c>
      <c r="H21" s="362">
        <f>SUM('- 23 -'!D21,'- 23 -'!B21)</f>
        <v>0</v>
      </c>
      <c r="I21" s="278">
        <f>H21/'- 3 -'!D21</f>
        <v>0</v>
      </c>
    </row>
    <row r="22" spans="1:9" ht="13.5" customHeight="1">
      <c r="A22" s="388" t="s">
        <v>337</v>
      </c>
      <c r="B22" s="361">
        <f>SUM('- 18 -'!B22,'- 18 -'!E22,'- 19 -'!B22,'- 19 -'!E22,'- 19 -'!H22,'- 20 -'!B22)</f>
        <v>7077169</v>
      </c>
      <c r="C22" s="279">
        <f>B22/'- 3 -'!D22</f>
        <v>0.552790462893352</v>
      </c>
      <c r="D22" s="361">
        <f>B22/'- 7 -'!C22</f>
        <v>4294.398665048544</v>
      </c>
      <c r="E22" s="361">
        <f>SUM('- 21 -'!B22,'- 21 -'!E22,'- 21 -'!H22,'- 22 -'!B22,'- 22 -'!E22,'- 22 -'!H22)</f>
        <v>1870734</v>
      </c>
      <c r="F22" s="279">
        <f>E22/'- 3 -'!D22</f>
        <v>0.14612112750314876</v>
      </c>
      <c r="G22" s="361">
        <f>E22/'- 7 -'!F22</f>
        <v>1106.9431952662721</v>
      </c>
      <c r="H22" s="361">
        <f>SUM('- 23 -'!D22,'- 23 -'!B22)</f>
        <v>415995</v>
      </c>
      <c r="I22" s="279">
        <f>H22/'- 3 -'!D22</f>
        <v>0.03249294578260318</v>
      </c>
    </row>
    <row r="23" spans="1:9" ht="13.5" customHeight="1">
      <c r="A23" s="387" t="s">
        <v>338</v>
      </c>
      <c r="B23" s="362">
        <f>SUM('- 18 -'!B23,'- 18 -'!E23,'- 19 -'!B23,'- 19 -'!E23,'- 19 -'!H23,'- 20 -'!B23)</f>
        <v>6031532</v>
      </c>
      <c r="C23" s="278">
        <f>B23/'- 3 -'!D23</f>
        <v>0.5634412415128114</v>
      </c>
      <c r="D23" s="362">
        <f>B23/'- 7 -'!C23</f>
        <v>4399.0460214426375</v>
      </c>
      <c r="E23" s="362">
        <f>SUM('- 21 -'!B23,'- 21 -'!E23,'- 21 -'!H23,'- 22 -'!B23,'- 22 -'!E23,'- 22 -'!H23)</f>
        <v>1338848</v>
      </c>
      <c r="F23" s="278">
        <f>E23/'- 3 -'!D23</f>
        <v>0.12506974667745185</v>
      </c>
      <c r="G23" s="362">
        <f>E23/'- 7 -'!F23</f>
        <v>976.4772810152433</v>
      </c>
      <c r="H23" s="362">
        <f>SUM('- 23 -'!D23,'- 23 -'!B23)</f>
        <v>101115</v>
      </c>
      <c r="I23" s="278">
        <f>H23/'- 3 -'!D23</f>
        <v>0.00944575294229856</v>
      </c>
    </row>
    <row r="24" spans="1:9" ht="13.5" customHeight="1">
      <c r="A24" s="388" t="s">
        <v>339</v>
      </c>
      <c r="B24" s="361">
        <f>SUM('- 18 -'!B24,'- 18 -'!E24,'- 19 -'!B24,'- 19 -'!E24,'- 19 -'!H24,'- 20 -'!B24)</f>
        <v>20262400</v>
      </c>
      <c r="C24" s="279">
        <f>B24/'- 3 -'!D24</f>
        <v>0.60770106444688</v>
      </c>
      <c r="D24" s="361">
        <f>B24/'- 7 -'!C24</f>
        <v>4420.53363003687</v>
      </c>
      <c r="E24" s="361">
        <f>SUM('- 21 -'!B24,'- 21 -'!E24,'- 21 -'!H24,'- 22 -'!B24,'- 22 -'!E24,'- 22 -'!H24)</f>
        <v>4266814.41</v>
      </c>
      <c r="F24" s="279">
        <f>E24/'- 3 -'!D24</f>
        <v>0.12796843704370095</v>
      </c>
      <c r="G24" s="361">
        <f>E24/'- 7 -'!F24</f>
        <v>925.2150855432922</v>
      </c>
      <c r="H24" s="361">
        <f>SUM('- 23 -'!D24,'- 23 -'!B24)</f>
        <v>263822</v>
      </c>
      <c r="I24" s="279">
        <f>H24/'- 3 -'!D24</f>
        <v>0.007912434372261173</v>
      </c>
    </row>
    <row r="25" spans="1:9" ht="13.5" customHeight="1">
      <c r="A25" s="387" t="s">
        <v>340</v>
      </c>
      <c r="B25" s="362">
        <f>SUM('- 18 -'!B25,'- 18 -'!E25,'- 19 -'!B25,'- 19 -'!E25,'- 19 -'!H25,'- 20 -'!B25)</f>
        <v>61803390</v>
      </c>
      <c r="C25" s="278">
        <f>B25/'- 3 -'!D25</f>
        <v>0.5972682853005696</v>
      </c>
      <c r="D25" s="362">
        <f>B25/'- 7 -'!C25</f>
        <v>4197.687323407955</v>
      </c>
      <c r="E25" s="362">
        <f>SUM('- 21 -'!B25,'- 21 -'!E25,'- 21 -'!H25,'- 22 -'!B25,'- 22 -'!E25,'- 22 -'!H25)</f>
        <v>15358613</v>
      </c>
      <c r="F25" s="278">
        <f>E25/'- 3 -'!D25</f>
        <v>0.14842571663310117</v>
      </c>
      <c r="G25" s="362">
        <f>E25/'- 7 -'!F25</f>
        <v>1031.5270800311635</v>
      </c>
      <c r="H25" s="362">
        <f>SUM('- 23 -'!D25,'- 23 -'!B25)</f>
        <v>0</v>
      </c>
      <c r="I25" s="278">
        <f>H25/'- 3 -'!D25</f>
        <v>0</v>
      </c>
    </row>
    <row r="26" spans="1:9" ht="13.5" customHeight="1">
      <c r="A26" s="388" t="s">
        <v>341</v>
      </c>
      <c r="B26" s="361">
        <f>SUM('- 18 -'!B26,'- 18 -'!E26,'- 19 -'!B26,'- 19 -'!E26,'- 19 -'!H26,'- 20 -'!B26)</f>
        <v>14541103.27</v>
      </c>
      <c r="C26" s="279">
        <f>B26/'- 3 -'!D26</f>
        <v>0.5632516014814091</v>
      </c>
      <c r="D26" s="361">
        <f>B26/'- 7 -'!C26</f>
        <v>4370.635187856928</v>
      </c>
      <c r="E26" s="361">
        <f>SUM('- 21 -'!B26,'- 21 -'!E26,'- 21 -'!H26,'- 22 -'!B26,'- 22 -'!E26,'- 22 -'!H26)</f>
        <v>3066978.67</v>
      </c>
      <c r="F26" s="279">
        <f>E26/'- 3 -'!D26</f>
        <v>0.11879983351406471</v>
      </c>
      <c r="G26" s="361">
        <f>E26/'- 7 -'!F26</f>
        <v>915.5160208955224</v>
      </c>
      <c r="H26" s="361">
        <f>SUM('- 23 -'!D26,'- 23 -'!B26)</f>
        <v>70000</v>
      </c>
      <c r="I26" s="279">
        <f>H26/'- 3 -'!D26</f>
        <v>0.002711459465736855</v>
      </c>
    </row>
    <row r="27" spans="1:9" ht="13.5" customHeight="1">
      <c r="A27" s="387" t="s">
        <v>342</v>
      </c>
      <c r="B27" s="362">
        <f>SUM('- 18 -'!B27,'- 18 -'!E27,'- 19 -'!B27,'- 19 -'!E27,'- 19 -'!H27,'- 20 -'!B27)</f>
        <v>15588613</v>
      </c>
      <c r="C27" s="278">
        <f>B27/'- 3 -'!D27</f>
        <v>0.6067889650493881</v>
      </c>
      <c r="D27" s="362">
        <f>B27/'- 7 -'!C27</f>
        <v>4782.810112600866</v>
      </c>
      <c r="E27" s="362">
        <f>SUM('- 21 -'!B27,'- 21 -'!E27,'- 21 -'!H27,'- 22 -'!B27,'- 22 -'!E27,'- 22 -'!H27)</f>
        <v>3720282</v>
      </c>
      <c r="F27" s="278">
        <f>E27/'- 3 -'!D27</f>
        <v>0.1448125028488338</v>
      </c>
      <c r="G27" s="362">
        <f>E27/'- 7 -'!F27</f>
        <v>1121.140945664949</v>
      </c>
      <c r="H27" s="362">
        <f>SUM('- 23 -'!D27,'- 23 -'!B27)</f>
        <v>0</v>
      </c>
      <c r="I27" s="278">
        <f>H27/'- 3 -'!D27</f>
        <v>0</v>
      </c>
    </row>
    <row r="28" spans="1:9" ht="13.5" customHeight="1">
      <c r="A28" s="388" t="s">
        <v>343</v>
      </c>
      <c r="B28" s="361">
        <f>SUM('- 18 -'!B28,'- 18 -'!E28,'- 19 -'!B28,'- 19 -'!E28,'- 19 -'!H28,'- 20 -'!B28)</f>
        <v>9419275.29</v>
      </c>
      <c r="C28" s="279">
        <f>B28/'- 3 -'!D28</f>
        <v>0.5853057611750043</v>
      </c>
      <c r="D28" s="361">
        <f>B28/'- 7 -'!C28</f>
        <v>4399.06374462918</v>
      </c>
      <c r="E28" s="361">
        <f>SUM('- 21 -'!B28,'- 21 -'!E28,'- 21 -'!H28,'- 22 -'!B28,'- 22 -'!E28,'- 22 -'!H28)</f>
        <v>1489841.1099999999</v>
      </c>
      <c r="F28" s="279">
        <f>E28/'- 3 -'!D28</f>
        <v>0.09257746037469974</v>
      </c>
      <c r="G28" s="361">
        <f>E28/'- 7 -'!F28</f>
        <v>695.7972678871661</v>
      </c>
      <c r="H28" s="361">
        <f>SUM('- 23 -'!D28,'- 23 -'!B28)</f>
        <v>0</v>
      </c>
      <c r="I28" s="279">
        <f>H28/'- 3 -'!D28</f>
        <v>0</v>
      </c>
    </row>
    <row r="29" spans="1:9" ht="13.5" customHeight="1">
      <c r="A29" s="387" t="s">
        <v>344</v>
      </c>
      <c r="B29" s="362">
        <f>SUM('- 18 -'!B29,'- 18 -'!E29,'- 19 -'!B29,'- 19 -'!E29,'- 19 -'!H29,'- 20 -'!B29)</f>
        <v>59622242</v>
      </c>
      <c r="C29" s="278">
        <f>B29/'- 3 -'!D29</f>
        <v>0.6109101102528328</v>
      </c>
      <c r="D29" s="362">
        <f>B29/'- 7 -'!C29</f>
        <v>4574.818878666739</v>
      </c>
      <c r="E29" s="362">
        <f>SUM('- 21 -'!B29,'- 21 -'!E29,'- 21 -'!H29,'- 22 -'!B29,'- 22 -'!E29,'- 22 -'!H29)</f>
        <v>14021151</v>
      </c>
      <c r="F29" s="278">
        <f>E29/'- 3 -'!D29</f>
        <v>0.1436655619773845</v>
      </c>
      <c r="G29" s="362">
        <f>E29/'- 7 -'!F29</f>
        <v>1072.1255706191362</v>
      </c>
      <c r="H29" s="362">
        <f>SUM('- 23 -'!D29,'- 23 -'!B29)</f>
        <v>0</v>
      </c>
      <c r="I29" s="278">
        <f>H29/'- 3 -'!D29</f>
        <v>0</v>
      </c>
    </row>
    <row r="30" spans="1:9" ht="13.5" customHeight="1">
      <c r="A30" s="388" t="s">
        <v>345</v>
      </c>
      <c r="B30" s="361">
        <f>SUM('- 18 -'!B30,'- 18 -'!E30,'- 19 -'!B30,'- 19 -'!E30,'- 19 -'!H30,'- 20 -'!B30)</f>
        <v>5580748</v>
      </c>
      <c r="C30" s="279">
        <f>B30/'- 3 -'!D30</f>
        <v>0.5792193170113632</v>
      </c>
      <c r="D30" s="361">
        <f>B30/'- 7 -'!C30</f>
        <v>4351.121160143459</v>
      </c>
      <c r="E30" s="361">
        <f>SUM('- 21 -'!B30,'- 21 -'!E30,'- 21 -'!H30,'- 22 -'!B30,'- 22 -'!E30,'- 22 -'!H30)</f>
        <v>1119299</v>
      </c>
      <c r="F30" s="279">
        <f>E30/'- 3 -'!D30</f>
        <v>0.11617073595000202</v>
      </c>
      <c r="G30" s="361">
        <f>E30/'- 7 -'!F30</f>
        <v>872.6797130828006</v>
      </c>
      <c r="H30" s="361">
        <f>SUM('- 23 -'!D30,'- 23 -'!B30)</f>
        <v>0</v>
      </c>
      <c r="I30" s="279">
        <f>H30/'- 3 -'!D30</f>
        <v>0</v>
      </c>
    </row>
    <row r="31" spans="1:9" ht="13.5" customHeight="1">
      <c r="A31" s="387" t="s">
        <v>346</v>
      </c>
      <c r="B31" s="362">
        <f>SUM('- 18 -'!B31,'- 18 -'!E31,'- 19 -'!B31,'- 19 -'!E31,'- 19 -'!H31,'- 20 -'!B31)</f>
        <v>14674600</v>
      </c>
      <c r="C31" s="278">
        <f>B31/'- 3 -'!D31</f>
        <v>0.6015378966087422</v>
      </c>
      <c r="D31" s="362">
        <f>B31/'- 7 -'!C31</f>
        <v>4497.548118180704</v>
      </c>
      <c r="E31" s="362">
        <f>SUM('- 21 -'!B31,'- 21 -'!E31,'- 21 -'!H31,'- 22 -'!B31,'- 22 -'!E31,'- 22 -'!H31)</f>
        <v>3477294</v>
      </c>
      <c r="F31" s="278">
        <f>E31/'- 3 -'!D31</f>
        <v>0.1425404521179589</v>
      </c>
      <c r="G31" s="362">
        <f>E31/'- 7 -'!F31</f>
        <v>1033.2790538733545</v>
      </c>
      <c r="H31" s="362">
        <f>SUM('- 23 -'!D31,'- 23 -'!B31)</f>
        <v>209038</v>
      </c>
      <c r="I31" s="278">
        <f>H31/'- 3 -'!D31</f>
        <v>0.008568838593985408</v>
      </c>
    </row>
    <row r="32" spans="1:9" ht="13.5" customHeight="1">
      <c r="A32" s="388" t="s">
        <v>347</v>
      </c>
      <c r="B32" s="361">
        <f>SUM('- 18 -'!B32,'- 18 -'!E32,'- 19 -'!B32,'- 19 -'!E32,'- 19 -'!H32,'- 20 -'!B32)</f>
        <v>11158024</v>
      </c>
      <c r="C32" s="279">
        <f>B32/'- 3 -'!D32</f>
        <v>0.6138226534949418</v>
      </c>
      <c r="D32" s="361">
        <f>B32/'- 7 -'!C32</f>
        <v>4748.095319148936</v>
      </c>
      <c r="E32" s="361">
        <f>SUM('- 21 -'!B32,'- 21 -'!E32,'- 21 -'!H32,'- 22 -'!B32,'- 22 -'!E32,'- 22 -'!H32)</f>
        <v>1785782</v>
      </c>
      <c r="F32" s="279">
        <f>E32/'- 3 -'!D32</f>
        <v>0.09823902922269248</v>
      </c>
      <c r="G32" s="361">
        <f>E32/'- 7 -'!F32</f>
        <v>759.9072340425532</v>
      </c>
      <c r="H32" s="361">
        <f>SUM('- 23 -'!D32,'- 23 -'!B32)</f>
        <v>246264</v>
      </c>
      <c r="I32" s="279">
        <f>H32/'- 3 -'!D32</f>
        <v>0.013547418605684872</v>
      </c>
    </row>
    <row r="33" spans="1:9" ht="13.5" customHeight="1">
      <c r="A33" s="387" t="s">
        <v>348</v>
      </c>
      <c r="B33" s="362">
        <f>SUM('- 18 -'!B33,'- 18 -'!E33,'- 19 -'!B33,'- 19 -'!E33,'- 19 -'!H33,'- 20 -'!B33)</f>
        <v>12739460</v>
      </c>
      <c r="C33" s="278">
        <f>B33/'- 3 -'!D33</f>
        <v>0.5876976926536474</v>
      </c>
      <c r="D33" s="362">
        <f>B33/'- 7 -'!C33</f>
        <v>5109.887288917413</v>
      </c>
      <c r="E33" s="362">
        <f>SUM('- 21 -'!B33,'- 21 -'!E33,'- 21 -'!H33,'- 22 -'!B33,'- 22 -'!E33,'- 22 -'!H33)</f>
        <v>2373894</v>
      </c>
      <c r="F33" s="278">
        <f>E33/'- 3 -'!D33</f>
        <v>0.10951265017546565</v>
      </c>
      <c r="G33" s="362">
        <f>E33/'- 7 -'!F33</f>
        <v>952.185632345273</v>
      </c>
      <c r="H33" s="362">
        <f>SUM('- 23 -'!D33,'- 23 -'!B33)</f>
        <v>0</v>
      </c>
      <c r="I33" s="278">
        <f>H33/'- 3 -'!D33</f>
        <v>0</v>
      </c>
    </row>
    <row r="34" spans="1:9" ht="13.5" customHeight="1">
      <c r="A34" s="388" t="s">
        <v>349</v>
      </c>
      <c r="B34" s="361">
        <f>SUM('- 18 -'!B34,'- 18 -'!E34,'- 19 -'!B34,'- 19 -'!E34,'- 19 -'!H34,'- 20 -'!B34)</f>
        <v>9598883</v>
      </c>
      <c r="C34" s="279">
        <f>B34/'- 3 -'!D34</f>
        <v>0.5841487084330453</v>
      </c>
      <c r="D34" s="361">
        <f>B34/'- 7 -'!C34</f>
        <v>4358.374046494733</v>
      </c>
      <c r="E34" s="361">
        <f>SUM('- 21 -'!B34,'- 21 -'!E34,'- 21 -'!H34,'- 22 -'!B34,'- 22 -'!E34,'- 22 -'!H34)</f>
        <v>1731129.13</v>
      </c>
      <c r="F34" s="279">
        <f>E34/'- 3 -'!D34</f>
        <v>0.10534942924299852</v>
      </c>
      <c r="G34" s="361">
        <f>E34/'- 7 -'!F34</f>
        <v>782.6081057866184</v>
      </c>
      <c r="H34" s="361">
        <f>SUM('- 23 -'!D34,'- 23 -'!B34)</f>
        <v>193767</v>
      </c>
      <c r="I34" s="279">
        <f>H34/'- 3 -'!D34</f>
        <v>0.011791866073057239</v>
      </c>
    </row>
    <row r="35" spans="1:9" ht="13.5" customHeight="1">
      <c r="A35" s="387" t="s">
        <v>350</v>
      </c>
      <c r="B35" s="362">
        <f>SUM('- 18 -'!B35,'- 18 -'!E35,'- 19 -'!B35,'- 19 -'!E35,'- 19 -'!H35,'- 20 -'!B35)</f>
        <v>74205446</v>
      </c>
      <c r="C35" s="278">
        <f>B35/'- 3 -'!D35</f>
        <v>0.6063815932794905</v>
      </c>
      <c r="D35" s="362">
        <f>B35/'- 7 -'!C35</f>
        <v>4212.699960828172</v>
      </c>
      <c r="E35" s="362">
        <f>SUM('- 21 -'!B35,'- 21 -'!E35,'- 21 -'!H35,'- 22 -'!B35,'- 22 -'!E35,'- 22 -'!H35)</f>
        <v>18384107</v>
      </c>
      <c r="F35" s="278">
        <f>E35/'- 3 -'!D35</f>
        <v>0.15022865159628085</v>
      </c>
      <c r="G35" s="362">
        <f>E35/'- 7 -'!F35</f>
        <v>1031.7890075598982</v>
      </c>
      <c r="H35" s="362">
        <f>SUM('- 23 -'!D35,'- 23 -'!B35)</f>
        <v>770422</v>
      </c>
      <c r="I35" s="278">
        <f>H35/'- 3 -'!D35</f>
        <v>0.006295625793524259</v>
      </c>
    </row>
    <row r="36" spans="1:9" ht="13.5" customHeight="1">
      <c r="A36" s="388" t="s">
        <v>351</v>
      </c>
      <c r="B36" s="361">
        <f>SUM('- 18 -'!B36,'- 18 -'!E36,'- 19 -'!B36,'- 19 -'!E36,'- 19 -'!H36,'- 20 -'!B36)</f>
        <v>10008344</v>
      </c>
      <c r="C36" s="279">
        <f>B36/'- 3 -'!D36</f>
        <v>0.6285963181776358</v>
      </c>
      <c r="D36" s="361">
        <f>B36/'- 7 -'!C36</f>
        <v>4712.026365348399</v>
      </c>
      <c r="E36" s="361">
        <f>SUM('- 21 -'!B36,'- 21 -'!E36,'- 21 -'!H36,'- 22 -'!B36,'- 22 -'!E36,'- 22 -'!H36)</f>
        <v>1394510</v>
      </c>
      <c r="F36" s="279">
        <f>E36/'- 3 -'!D36</f>
        <v>0.08758530398854145</v>
      </c>
      <c r="G36" s="361">
        <f>E36/'- 7 -'!F36</f>
        <v>656.5489642184557</v>
      </c>
      <c r="H36" s="361">
        <f>SUM('- 23 -'!D36,'- 23 -'!B36)</f>
        <v>129652</v>
      </c>
      <c r="I36" s="279">
        <f>H36/'- 3 -'!D36</f>
        <v>0.008143082396485056</v>
      </c>
    </row>
    <row r="37" spans="1:9" ht="13.5" customHeight="1">
      <c r="A37" s="387" t="s">
        <v>352</v>
      </c>
      <c r="B37" s="362">
        <f>SUM('- 18 -'!B37,'- 18 -'!E37,'- 19 -'!B37,'- 19 -'!E37,'- 19 -'!H37,'- 20 -'!B37)</f>
        <v>13573671</v>
      </c>
      <c r="C37" s="278">
        <f>B37/'- 3 -'!D37</f>
        <v>0.5803162094574168</v>
      </c>
      <c r="D37" s="362">
        <f>B37/'- 7 -'!C37</f>
        <v>4015.760184609923</v>
      </c>
      <c r="E37" s="362">
        <f>SUM('- 21 -'!B37,'- 21 -'!E37,'- 21 -'!H37,'- 22 -'!B37,'- 22 -'!E37,'- 22 -'!H37)</f>
        <v>2910477</v>
      </c>
      <c r="F37" s="278">
        <f>E37/'- 3 -'!D37</f>
        <v>0.12443184900775879</v>
      </c>
      <c r="G37" s="362">
        <f>E37/'- 7 -'!F37</f>
        <v>861.06239460371</v>
      </c>
      <c r="H37" s="362">
        <f>SUM('- 23 -'!D37,'- 23 -'!B37)</f>
        <v>271815</v>
      </c>
      <c r="I37" s="278">
        <f>H37/'- 3 -'!D37</f>
        <v>0.011620927785391864</v>
      </c>
    </row>
    <row r="38" spans="1:9" ht="13.5" customHeight="1">
      <c r="A38" s="388" t="s">
        <v>353</v>
      </c>
      <c r="B38" s="361">
        <f>SUM('- 18 -'!B38,'- 18 -'!E38,'- 19 -'!B38,'- 19 -'!E38,'- 19 -'!H38,'- 20 -'!B38)</f>
        <v>37025488.37</v>
      </c>
      <c r="C38" s="279">
        <f>B38/'- 3 -'!D38</f>
        <v>0.601643588135096</v>
      </c>
      <c r="D38" s="361">
        <f>B38/'- 7 -'!C38</f>
        <v>4367.500839870245</v>
      </c>
      <c r="E38" s="361">
        <f>SUM('- 21 -'!B38,'- 21 -'!E38,'- 21 -'!H38,'- 22 -'!B38,'- 22 -'!E38,'- 22 -'!H38)</f>
        <v>8530380</v>
      </c>
      <c r="F38" s="279">
        <f>E38/'- 3 -'!D38</f>
        <v>0.13861392941178</v>
      </c>
      <c r="G38" s="361">
        <f>E38/'- 7 -'!F38</f>
        <v>1000.8071801489998</v>
      </c>
      <c r="H38" s="361">
        <f>SUM('- 23 -'!D38,'- 23 -'!B38)</f>
        <v>34108</v>
      </c>
      <c r="I38" s="279">
        <f>H38/'- 3 -'!D38</f>
        <v>0.0005542360251685144</v>
      </c>
    </row>
    <row r="39" spans="1:9" ht="13.5" customHeight="1">
      <c r="A39" s="387" t="s">
        <v>354</v>
      </c>
      <c r="B39" s="362">
        <f>SUM('- 18 -'!B39,'- 18 -'!E39,'- 19 -'!B39,'- 19 -'!E39,'- 19 -'!H39,'- 20 -'!B39)</f>
        <v>8517771.77</v>
      </c>
      <c r="C39" s="278">
        <f>B39/'- 3 -'!D39</f>
        <v>0.5801781969516592</v>
      </c>
      <c r="D39" s="362">
        <f>B39/'- 7 -'!C39</f>
        <v>4708.5526644555</v>
      </c>
      <c r="E39" s="362">
        <f>SUM('- 21 -'!B39,'- 21 -'!E39,'- 21 -'!H39,'- 22 -'!B39,'- 22 -'!E39,'- 22 -'!H39)</f>
        <v>1629635</v>
      </c>
      <c r="F39" s="278">
        <f>E39/'- 3 -'!D39</f>
        <v>0.11100070787519084</v>
      </c>
      <c r="G39" s="362">
        <f>E39/'- 7 -'!F39</f>
        <v>900.8485351022664</v>
      </c>
      <c r="H39" s="362">
        <f>SUM('- 23 -'!D39,'- 23 -'!B39)</f>
        <v>25216</v>
      </c>
      <c r="I39" s="278">
        <f>H39/'- 3 -'!D39</f>
        <v>0.0017175587476832618</v>
      </c>
    </row>
    <row r="40" spans="1:9" ht="13.5" customHeight="1">
      <c r="A40" s="388" t="s">
        <v>355</v>
      </c>
      <c r="B40" s="361">
        <f>SUM('- 18 -'!B40,'- 18 -'!E40,'- 19 -'!B40,'- 19 -'!E40,'- 19 -'!H40,'- 20 -'!B40)</f>
        <v>40189462</v>
      </c>
      <c r="C40" s="279">
        <f>B40/'- 3 -'!D40</f>
        <v>0.6474739855437858</v>
      </c>
      <c r="D40" s="361">
        <f>B40/'- 7 -'!C40</f>
        <v>4462.495988807525</v>
      </c>
      <c r="E40" s="361">
        <f>SUM('- 21 -'!B40,'- 21 -'!E40,'- 21 -'!H40,'- 22 -'!B40,'- 22 -'!E40,'- 22 -'!H40)</f>
        <v>7386767</v>
      </c>
      <c r="F40" s="279">
        <f>E40/'- 3 -'!D40</f>
        <v>0.11900481449025901</v>
      </c>
      <c r="G40" s="361">
        <f>E40/'- 7 -'!F40</f>
        <v>810.0102529237282</v>
      </c>
      <c r="H40" s="361">
        <f>SUM('- 23 -'!D40,'- 23 -'!B40)</f>
        <v>0</v>
      </c>
      <c r="I40" s="279">
        <f>H40/'- 3 -'!D40</f>
        <v>0</v>
      </c>
    </row>
    <row r="41" spans="1:9" ht="13.5" customHeight="1">
      <c r="A41" s="387" t="s">
        <v>356</v>
      </c>
      <c r="B41" s="362">
        <f>SUM('- 18 -'!B41,'- 18 -'!E41,'- 19 -'!B41,'- 19 -'!E41,'- 19 -'!H41,'- 20 -'!B41)</f>
        <v>21638847</v>
      </c>
      <c r="C41" s="278">
        <f>B41/'- 3 -'!D41</f>
        <v>0.576137989738393</v>
      </c>
      <c r="D41" s="362">
        <f>B41/'- 7 -'!C41</f>
        <v>4417.172981138237</v>
      </c>
      <c r="E41" s="362">
        <f>SUM('- 21 -'!B41,'- 21 -'!E41,'- 21 -'!H41,'- 22 -'!B41,'- 22 -'!E41,'- 22 -'!H41)</f>
        <v>4764457</v>
      </c>
      <c r="F41" s="278">
        <f>E41/'- 3 -'!D41</f>
        <v>0.12685447973152242</v>
      </c>
      <c r="G41" s="362">
        <f>E41/'- 7 -'!F41</f>
        <v>969.2129460108222</v>
      </c>
      <c r="H41" s="362">
        <f>SUM('- 23 -'!D41,'- 23 -'!B41)</f>
        <v>1134492</v>
      </c>
      <c r="I41" s="278">
        <f>H41/'- 3 -'!D41</f>
        <v>0.030206042875310733</v>
      </c>
    </row>
    <row r="42" spans="1:9" ht="13.5" customHeight="1">
      <c r="A42" s="388" t="s">
        <v>357</v>
      </c>
      <c r="B42" s="361">
        <f>SUM('- 18 -'!B42,'- 18 -'!E42,'- 19 -'!B42,'- 19 -'!E42,'- 19 -'!H42,'- 20 -'!B42)</f>
        <v>8630231</v>
      </c>
      <c r="C42" s="279">
        <f>B42/'- 3 -'!D42</f>
        <v>0.5935490034145692</v>
      </c>
      <c r="D42" s="361">
        <f>B42/'- 7 -'!C42</f>
        <v>4589.815986810616</v>
      </c>
      <c r="E42" s="361">
        <f>SUM('- 21 -'!B42,'- 21 -'!E42,'- 21 -'!H42,'- 22 -'!B42,'- 22 -'!E42,'- 22 -'!H42)</f>
        <v>1745131</v>
      </c>
      <c r="F42" s="279">
        <f>E42/'- 3 -'!D42</f>
        <v>0.12002236856439538</v>
      </c>
      <c r="G42" s="361">
        <f>E42/'- 7 -'!F42</f>
        <v>928.1130670637665</v>
      </c>
      <c r="H42" s="361">
        <f>SUM('- 23 -'!D42,'- 23 -'!B42)</f>
        <v>0</v>
      </c>
      <c r="I42" s="279">
        <f>H42/'- 3 -'!D42</f>
        <v>0</v>
      </c>
    </row>
    <row r="43" spans="1:9" ht="13.5" customHeight="1">
      <c r="A43" s="387" t="s">
        <v>358</v>
      </c>
      <c r="B43" s="362">
        <f>SUM('- 18 -'!B43,'- 18 -'!E43,'- 19 -'!B43,'- 19 -'!E43,'- 19 -'!H43,'- 20 -'!B43)</f>
        <v>5073640</v>
      </c>
      <c r="C43" s="278">
        <f>B43/'- 3 -'!D43</f>
        <v>0.5566527632573454</v>
      </c>
      <c r="D43" s="362">
        <f>B43/'- 7 -'!C43</f>
        <v>4162.132895816243</v>
      </c>
      <c r="E43" s="362">
        <f>SUM('- 21 -'!B43,'- 21 -'!E43,'- 21 -'!H43,'- 22 -'!B43,'- 22 -'!E43,'- 22 -'!H43)</f>
        <v>1252705</v>
      </c>
      <c r="F43" s="278">
        <f>E43/'- 3 -'!D43</f>
        <v>0.13744012184472937</v>
      </c>
      <c r="G43" s="362">
        <f>E43/'- 7 -'!F43</f>
        <v>1027.6497128794094</v>
      </c>
      <c r="H43" s="362">
        <f>SUM('- 23 -'!D43,'- 23 -'!B43)</f>
        <v>194734</v>
      </c>
      <c r="I43" s="278">
        <f>H43/'- 3 -'!D43</f>
        <v>0.02136517750572683</v>
      </c>
    </row>
    <row r="44" spans="1:9" ht="13.5" customHeight="1">
      <c r="A44" s="388" t="s">
        <v>359</v>
      </c>
      <c r="B44" s="361">
        <f>SUM('- 18 -'!B44,'- 18 -'!E44,'- 19 -'!B44,'- 19 -'!E44,'- 19 -'!H44,'- 20 -'!B44)</f>
        <v>3681852</v>
      </c>
      <c r="C44" s="279">
        <f>B44/'- 3 -'!D44</f>
        <v>0.5625196326402973</v>
      </c>
      <c r="D44" s="361">
        <f>B44/'- 7 -'!C44</f>
        <v>4498.2919975565055</v>
      </c>
      <c r="E44" s="361">
        <f>SUM('- 21 -'!B44,'- 21 -'!E44,'- 21 -'!H44,'- 22 -'!B44,'- 22 -'!E44,'- 22 -'!H44)</f>
        <v>755986.63</v>
      </c>
      <c r="F44" s="279">
        <f>E44/'- 3 -'!D44</f>
        <v>0.11550092762788303</v>
      </c>
      <c r="G44" s="361">
        <f>E44/'- 7 -'!F44</f>
        <v>923.62447159438</v>
      </c>
      <c r="H44" s="361">
        <f>SUM('- 23 -'!D44,'- 23 -'!B44)</f>
        <v>0</v>
      </c>
      <c r="I44" s="279">
        <f>H44/'- 3 -'!D44</f>
        <v>0</v>
      </c>
    </row>
    <row r="45" spans="1:9" ht="13.5" customHeight="1">
      <c r="A45" s="387" t="s">
        <v>360</v>
      </c>
      <c r="B45" s="362">
        <f>SUM('- 18 -'!B45,'- 18 -'!E45,'- 19 -'!B45,'- 19 -'!E45,'- 19 -'!H45,'- 20 -'!B45)</f>
        <v>6017181</v>
      </c>
      <c r="C45" s="278">
        <f>B45/'- 3 -'!D45</f>
        <v>0.6084844470512094</v>
      </c>
      <c r="D45" s="362">
        <f>B45/'- 7 -'!C45</f>
        <v>4152.643892339544</v>
      </c>
      <c r="E45" s="362">
        <f>SUM('- 21 -'!B45,'- 21 -'!E45,'- 21 -'!H45,'- 22 -'!B45,'- 22 -'!E45,'- 22 -'!H45)</f>
        <v>1114839</v>
      </c>
      <c r="F45" s="278">
        <f>E45/'- 3 -'!D45</f>
        <v>0.11273754146104684</v>
      </c>
      <c r="G45" s="362">
        <f>E45/'- 7 -'!F45</f>
        <v>764.6358024691358</v>
      </c>
      <c r="H45" s="362">
        <f>SUM('- 23 -'!D45,'- 23 -'!B45)</f>
        <v>259266</v>
      </c>
      <c r="I45" s="278">
        <f>H45/'- 3 -'!D45</f>
        <v>0.026218145781085674</v>
      </c>
    </row>
    <row r="46" spans="1:9" ht="13.5" customHeight="1">
      <c r="A46" s="388" t="s">
        <v>361</v>
      </c>
      <c r="B46" s="361">
        <f>SUM('- 18 -'!B46,'- 18 -'!E46,'- 19 -'!B46,'- 19 -'!E46,'- 19 -'!H46,'- 20 -'!B46)</f>
        <v>135312955.98000002</v>
      </c>
      <c r="C46" s="279">
        <f>B46/'- 3 -'!D46</f>
        <v>0.5400237796038492</v>
      </c>
      <c r="D46" s="361">
        <f>B46/'- 7 -'!C46</f>
        <v>4556.2986052932865</v>
      </c>
      <c r="E46" s="361">
        <f>SUM('- 21 -'!B46,'- 21 -'!E46,'- 21 -'!H46,'- 22 -'!B46,'- 22 -'!E46,'- 22 -'!H46)</f>
        <v>48628203</v>
      </c>
      <c r="F46" s="279">
        <f>E46/'- 3 -'!D46</f>
        <v>0.19407148258060866</v>
      </c>
      <c r="G46" s="361">
        <f>E46/'- 7 -'!F46</f>
        <v>1577.6596372838465</v>
      </c>
      <c r="H46" s="361">
        <f>SUM('- 23 -'!D46,'- 23 -'!B46)</f>
        <v>393959.02</v>
      </c>
      <c r="I46" s="279">
        <f>H46/'- 3 -'!D46</f>
        <v>0.0015722606711871228</v>
      </c>
    </row>
    <row r="47" spans="1:9" ht="13.5" customHeight="1">
      <c r="A47" s="387" t="s">
        <v>365</v>
      </c>
      <c r="B47" s="362">
        <f>SUM('- 18 -'!B47,'- 18 -'!E47,'- 19 -'!B47,'- 19 -'!E47,'- 19 -'!H47,'- 20 -'!B47)</f>
        <v>3148553</v>
      </c>
      <c r="C47" s="278">
        <f>B47/'- 3 -'!D47</f>
        <v>0.5660583566947207</v>
      </c>
      <c r="D47" s="362">
        <f>B47/'- 7 -'!C47</f>
        <v>5104.823437854665</v>
      </c>
      <c r="E47" s="362">
        <f>SUM('- 21 -'!B47,'- 21 -'!E47,'- 21 -'!H47,'- 22 -'!B47,'- 22 -'!E47,'- 22 -'!H47)</f>
        <v>175698</v>
      </c>
      <c r="F47" s="278">
        <f>E47/'- 3 -'!D47</f>
        <v>0.031587628080120944</v>
      </c>
      <c r="G47" s="362">
        <f>E47/'- 7 -'!F47</f>
        <v>284.8633224164208</v>
      </c>
      <c r="H47" s="362">
        <f>SUM('- 23 -'!D47,'- 23 -'!B47)</f>
        <v>49842</v>
      </c>
      <c r="I47" s="278">
        <f>H47/'- 3 -'!D47</f>
        <v>0.008960776780437956</v>
      </c>
    </row>
    <row r="48" spans="1:9" ht="4.5" customHeight="1">
      <c r="A48" s="389"/>
      <c r="B48" s="322"/>
      <c r="C48" s="162"/>
      <c r="D48" s="322"/>
      <c r="E48" s="322"/>
      <c r="F48" s="162"/>
      <c r="G48" s="322"/>
      <c r="H48" s="322"/>
      <c r="I48" s="162"/>
    </row>
    <row r="49" spans="1:9" ht="13.5" customHeight="1">
      <c r="A49" s="383" t="s">
        <v>362</v>
      </c>
      <c r="B49" s="363">
        <f>SUM(B11:B47)</f>
        <v>783969787.68</v>
      </c>
      <c r="C49" s="81">
        <f>B49/'- 3 -'!D49</f>
        <v>0.5817967480080225</v>
      </c>
      <c r="D49" s="363">
        <f>B49/'- 7 -'!C49</f>
        <v>4434.7894108307955</v>
      </c>
      <c r="E49" s="363">
        <f>SUM(E11:E47)</f>
        <v>191631375.44</v>
      </c>
      <c r="F49" s="81">
        <f>E49/'- 3 -'!D49</f>
        <v>0.14221276482762182</v>
      </c>
      <c r="G49" s="363">
        <f>E49/'- 7 -'!F49</f>
        <v>1069.642924686303</v>
      </c>
      <c r="H49" s="363">
        <f>SUM(H11:H47)</f>
        <v>6613145.02</v>
      </c>
      <c r="I49" s="81">
        <f>H49/'- 3 -'!D49</f>
        <v>0.0049077226280968885</v>
      </c>
    </row>
    <row r="50" spans="1:9" ht="4.5" customHeight="1">
      <c r="A50" s="389" t="s">
        <v>15</v>
      </c>
      <c r="B50" s="322"/>
      <c r="C50" s="162"/>
      <c r="D50" s="322"/>
      <c r="E50" s="322"/>
      <c r="F50" s="162"/>
      <c r="G50" s="9"/>
      <c r="H50" s="322"/>
      <c r="I50" s="162"/>
    </row>
    <row r="51" spans="1:9" ht="13.5" customHeight="1">
      <c r="A51" s="388" t="s">
        <v>363</v>
      </c>
      <c r="B51" s="361">
        <f>SUM('- 18 -'!B51,'- 18 -'!E51,'- 19 -'!B51,'- 19 -'!E51,'- 19 -'!H51,'- 20 -'!B51)</f>
        <v>857452</v>
      </c>
      <c r="C51" s="279">
        <f>B51/'- 3 -'!D51</f>
        <v>0.6786946803188896</v>
      </c>
      <c r="D51" s="361">
        <f>B51/'- 7 -'!C51</f>
        <v>5604.261437908497</v>
      </c>
      <c r="E51" s="361">
        <f>SUM('- 21 -'!B51,'- 21 -'!E51,'- 21 -'!H51,'- 22 -'!B51,'- 22 -'!E51,'- 22 -'!H51)</f>
        <v>97217</v>
      </c>
      <c r="F51" s="279">
        <f>E51/'- 3 -'!D51</f>
        <v>0.0769496843398365</v>
      </c>
      <c r="G51" s="8">
        <f>E51/'- 7 -'!F51</f>
        <v>635.40522875817</v>
      </c>
      <c r="H51" s="361">
        <f>SUM('- 23 -'!D51,'- 23 -'!B51)</f>
        <v>0</v>
      </c>
      <c r="I51" s="279">
        <f>H51/'- 3 -'!D51</f>
        <v>0</v>
      </c>
    </row>
    <row r="52" spans="1:9" ht="13.5" customHeight="1">
      <c r="A52" s="387" t="s">
        <v>364</v>
      </c>
      <c r="B52" s="362">
        <f>SUM('- 18 -'!B52,'- 18 -'!E52,'- 19 -'!B52,'- 19 -'!E52,'- 19 -'!H52,'- 20 -'!B52)</f>
        <v>1489592</v>
      </c>
      <c r="C52" s="278">
        <f>B52/'- 3 -'!D52</f>
        <v>0.6246823836189417</v>
      </c>
      <c r="D52" s="362">
        <f>B52/'- 7 -'!C52</f>
        <v>5456.380952380952</v>
      </c>
      <c r="E52" s="362">
        <f>SUM('- 21 -'!B52,'- 21 -'!E52,'- 21 -'!H52,'- 22 -'!B52,'- 22 -'!E52,'- 22 -'!H52)</f>
        <v>224582</v>
      </c>
      <c r="F52" s="278">
        <f>E52/'- 3 -'!D52</f>
        <v>0.09418177533036506</v>
      </c>
      <c r="G52" s="7">
        <f>E52/'- 7 -'!F52</f>
        <v>822.6446886446887</v>
      </c>
      <c r="H52" s="362">
        <f>SUM('- 23 -'!D52,'- 23 -'!B52)</f>
        <v>0</v>
      </c>
      <c r="I52" s="278">
        <f>H52/'- 3 -'!D52</f>
        <v>0</v>
      </c>
    </row>
    <row r="53" ht="49.5" customHeight="1"/>
    <row r="54" spans="1:9" ht="12" customHeight="1">
      <c r="A54" s="277"/>
      <c r="B54" s="9"/>
      <c r="C54" s="9"/>
      <c r="D54" s="9"/>
      <c r="E54" s="9"/>
      <c r="F54" s="9"/>
      <c r="G54" s="9"/>
      <c r="H54" s="9"/>
      <c r="I54" s="9"/>
    </row>
    <row r="55" spans="1:9" ht="12" customHeight="1">
      <c r="A55" s="3"/>
      <c r="B55" s="124"/>
      <c r="C55" s="124"/>
      <c r="E55" s="124"/>
      <c r="F55" s="124"/>
      <c r="H55" s="124"/>
      <c r="I55" s="124"/>
    </row>
    <row r="56" spans="1:9" ht="12" customHeight="1">
      <c r="A56" s="3"/>
      <c r="B56" s="9"/>
      <c r="C56" s="9"/>
      <c r="D56" s="9"/>
      <c r="E56" s="9"/>
      <c r="F56" s="9"/>
      <c r="G56" s="9"/>
      <c r="H56" s="9"/>
      <c r="I56" s="9"/>
    </row>
    <row r="57" spans="1:9" ht="12" customHeight="1">
      <c r="A57" s="3"/>
      <c r="B57" s="9"/>
      <c r="C57" s="9"/>
      <c r="D57" s="9"/>
      <c r="E57" s="9"/>
      <c r="F57" s="9"/>
      <c r="G57" s="9"/>
      <c r="H57" s="9"/>
      <c r="I57" s="9"/>
    </row>
    <row r="58" spans="1:9" ht="12" customHeight="1">
      <c r="A58" s="3"/>
      <c r="B58" s="9"/>
      <c r="C58" s="9"/>
      <c r="D58" s="9"/>
      <c r="E58" s="9"/>
      <c r="F58" s="9"/>
      <c r="G58" s="9"/>
      <c r="H58" s="9"/>
      <c r="I58" s="9"/>
    </row>
    <row r="59" spans="2:9" ht="12" customHeight="1">
      <c r="B59" s="9"/>
      <c r="C59" s="9"/>
      <c r="D59" s="9"/>
      <c r="E59" s="9"/>
      <c r="F59" s="9"/>
      <c r="G59" s="9"/>
      <c r="H59" s="9"/>
      <c r="I59" s="9"/>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9"/>
  <sheetViews>
    <sheetView showGridLines="0" showZeros="0" workbookViewId="0" topLeftCell="A1">
      <selection activeCell="A1" sqref="A1"/>
    </sheetView>
  </sheetViews>
  <sheetFormatPr defaultColWidth="15.83203125" defaultRowHeight="12"/>
  <cols>
    <col min="1" max="1" width="34.83203125" style="67" customWidth="1"/>
    <col min="2" max="2" width="21.83203125" style="67" customWidth="1"/>
    <col min="3" max="3" width="9.83203125" style="67" customWidth="1"/>
    <col min="4" max="4" width="16.83203125" style="67" customWidth="1"/>
    <col min="5" max="5" width="8.83203125" style="67" customWidth="1"/>
    <col min="6" max="6" width="9.83203125" style="67" customWidth="1"/>
    <col min="7" max="7" width="16.83203125" style="67" customWidth="1"/>
    <col min="8" max="8" width="8.83203125" style="67" customWidth="1"/>
    <col min="9" max="9" width="9.83203125" style="67" customWidth="1"/>
    <col min="10" max="16384" width="15.83203125" style="67" customWidth="1"/>
  </cols>
  <sheetData>
    <row r="1" spans="1:9" ht="6.75" customHeight="1">
      <c r="A1" s="12"/>
      <c r="B1" s="43"/>
      <c r="C1" s="43"/>
      <c r="D1" s="43"/>
      <c r="E1" s="43"/>
      <c r="F1" s="43"/>
      <c r="G1" s="43"/>
      <c r="H1" s="43"/>
      <c r="I1" s="43"/>
    </row>
    <row r="2" spans="1:9" ht="15.75" customHeight="1">
      <c r="A2" s="331"/>
      <c r="B2" s="360" t="s">
        <v>13</v>
      </c>
      <c r="C2" s="44"/>
      <c r="D2" s="44"/>
      <c r="E2" s="44"/>
      <c r="F2" s="44"/>
      <c r="G2" s="45"/>
      <c r="H2" s="46"/>
      <c r="I2" s="336" t="s">
        <v>16</v>
      </c>
    </row>
    <row r="3" spans="1:9" ht="15.75" customHeight="1">
      <c r="A3" s="332"/>
      <c r="B3" s="456" t="str">
        <f>OPYEAR</f>
        <v>OPERATING FUND 2002/2003 ACTUAL</v>
      </c>
      <c r="C3" s="47"/>
      <c r="D3" s="47"/>
      <c r="E3" s="47"/>
      <c r="F3" s="47"/>
      <c r="G3" s="48"/>
      <c r="H3" s="49"/>
      <c r="I3" s="49"/>
    </row>
    <row r="4" spans="1:9" ht="15.75" customHeight="1">
      <c r="A4" s="9"/>
      <c r="B4" s="43"/>
      <c r="C4" s="43"/>
      <c r="D4" s="43"/>
      <c r="E4" s="43"/>
      <c r="F4" s="43"/>
      <c r="G4" s="43"/>
      <c r="H4" s="43"/>
      <c r="I4" s="43"/>
    </row>
    <row r="5" spans="1:9" ht="15.75" customHeight="1">
      <c r="A5" s="9"/>
      <c r="B5" s="43"/>
      <c r="C5" s="43"/>
      <c r="D5" s="43"/>
      <c r="E5" s="43"/>
      <c r="F5" s="43"/>
      <c r="G5" s="43"/>
      <c r="H5" s="43"/>
      <c r="I5" s="43"/>
    </row>
    <row r="6" spans="1:9" ht="15.75" customHeight="1">
      <c r="A6" s="9"/>
      <c r="B6" s="53" t="s">
        <v>77</v>
      </c>
      <c r="C6" s="51"/>
      <c r="D6" s="53" t="s">
        <v>233</v>
      </c>
      <c r="E6" s="51"/>
      <c r="F6" s="52"/>
      <c r="G6" s="53" t="s">
        <v>42</v>
      </c>
      <c r="H6" s="51"/>
      <c r="I6" s="52"/>
    </row>
    <row r="7" spans="1:9" ht="15.75" customHeight="1">
      <c r="A7" s="9"/>
      <c r="B7" s="54" t="s">
        <v>283</v>
      </c>
      <c r="C7" s="55"/>
      <c r="D7" s="54" t="s">
        <v>50</v>
      </c>
      <c r="E7" s="55"/>
      <c r="F7" s="56"/>
      <c r="G7" s="54" t="s">
        <v>57</v>
      </c>
      <c r="H7" s="55"/>
      <c r="I7" s="56"/>
    </row>
    <row r="8" spans="1:9" ht="15.75" customHeight="1">
      <c r="A8" s="313"/>
      <c r="B8" s="64" t="s">
        <v>15</v>
      </c>
      <c r="C8" s="57"/>
      <c r="D8" s="59"/>
      <c r="E8" s="58"/>
      <c r="F8" s="58" t="s">
        <v>87</v>
      </c>
      <c r="G8" s="59"/>
      <c r="H8" s="58"/>
      <c r="I8" s="58" t="s">
        <v>87</v>
      </c>
    </row>
    <row r="9" spans="1:9" ht="15.75" customHeight="1">
      <c r="A9" s="314" t="s">
        <v>112</v>
      </c>
      <c r="B9" s="61" t="s">
        <v>113</v>
      </c>
      <c r="C9" s="61" t="s">
        <v>114</v>
      </c>
      <c r="D9" s="61" t="s">
        <v>113</v>
      </c>
      <c r="E9" s="61" t="s">
        <v>114</v>
      </c>
      <c r="F9" s="61" t="s">
        <v>115</v>
      </c>
      <c r="G9" s="61" t="s">
        <v>113</v>
      </c>
      <c r="H9" s="61" t="s">
        <v>114</v>
      </c>
      <c r="I9" s="61" t="s">
        <v>115</v>
      </c>
    </row>
    <row r="10" spans="1:9" ht="4.5" customHeight="1">
      <c r="A10" s="62"/>
      <c r="B10" s="9"/>
      <c r="C10" s="9"/>
      <c r="D10" s="9"/>
      <c r="E10" s="9"/>
      <c r="F10" s="9"/>
      <c r="G10" s="9"/>
      <c r="H10" s="9"/>
      <c r="I10" s="9"/>
    </row>
    <row r="11" spans="1:9" ht="13.5" customHeight="1">
      <c r="A11" s="387" t="s">
        <v>327</v>
      </c>
      <c r="B11" s="362">
        <f>SUM('- 24 -'!H11,'- 24 -'!F11,'- 24 -'!D11,'- 24 -'!B11)</f>
        <v>5075</v>
      </c>
      <c r="C11" s="278">
        <f>B11/'- 3 -'!D11</f>
        <v>0.0004542732551502118</v>
      </c>
      <c r="D11" s="362">
        <f>SUM('- 25 -'!B11,'- 25 -'!E11,'- 25 -'!H11,'- 26 -'!B11)</f>
        <v>436298</v>
      </c>
      <c r="E11" s="278">
        <f>D11/'- 3 -'!D11</f>
        <v>0.03905389412325658</v>
      </c>
      <c r="F11" s="362">
        <f>D11/'- 7 -'!F11</f>
        <v>268.90477657935287</v>
      </c>
      <c r="G11" s="362">
        <f>SUM('- 27 -'!B11,'- 27 -'!E11,'- 27 -'!H11,'- 28 -'!B11,'- 28 -'!E11,'- 28 -'!H11,'- 29 -'!B11)</f>
        <v>373647</v>
      </c>
      <c r="H11" s="278">
        <f>G11/'- 3 -'!D11</f>
        <v>0.03344587959943078</v>
      </c>
      <c r="I11" s="362">
        <f>G11/'- 7 -'!F11</f>
        <v>230.29090909090908</v>
      </c>
    </row>
    <row r="12" spans="1:9" ht="13.5" customHeight="1">
      <c r="A12" s="388" t="s">
        <v>328</v>
      </c>
      <c r="B12" s="361">
        <f>SUM('- 24 -'!H12,'- 24 -'!F12,'- 24 -'!D12,'- 24 -'!B12)</f>
        <v>0</v>
      </c>
      <c r="C12" s="279">
        <f>B12/'- 3 -'!D12</f>
        <v>0</v>
      </c>
      <c r="D12" s="361">
        <f>SUM('- 25 -'!B12,'- 25 -'!E12,'- 25 -'!H12,'- 26 -'!B12)</f>
        <v>716189</v>
      </c>
      <c r="E12" s="279">
        <f>D12/'- 3 -'!D12</f>
        <v>0.03901545105321545</v>
      </c>
      <c r="F12" s="361">
        <f>D12/'- 7 -'!F12</f>
        <v>304.7742457125835</v>
      </c>
      <c r="G12" s="361">
        <f>SUM('- 27 -'!B12,'- 27 -'!E12,'- 27 -'!H12,'- 28 -'!B12,'- 28 -'!E12,'- 28 -'!H12,'- 29 -'!B12)</f>
        <v>554282</v>
      </c>
      <c r="H12" s="279">
        <f>G12/'- 3 -'!D12</f>
        <v>0.03019532866419111</v>
      </c>
      <c r="I12" s="361">
        <f>G12/'- 7 -'!F12</f>
        <v>235.87471807310948</v>
      </c>
    </row>
    <row r="13" spans="1:9" ht="13.5" customHeight="1">
      <c r="A13" s="387" t="s">
        <v>329</v>
      </c>
      <c r="B13" s="362">
        <f>SUM('- 24 -'!H13,'- 24 -'!F13,'- 24 -'!D13,'- 24 -'!B13)</f>
        <v>59986</v>
      </c>
      <c r="C13" s="278">
        <f>B13/'- 3 -'!D13</f>
        <v>0.001289132309039137</v>
      </c>
      <c r="D13" s="362">
        <f>SUM('- 25 -'!B13,'- 25 -'!E13,'- 25 -'!H13,'- 26 -'!B13)</f>
        <v>1696512</v>
      </c>
      <c r="E13" s="278">
        <f>D13/'- 3 -'!D13</f>
        <v>0.03645898096010077</v>
      </c>
      <c r="F13" s="362">
        <f>D13/'- 7 -'!F13</f>
        <v>232.62196626902508</v>
      </c>
      <c r="G13" s="362">
        <f>SUM('- 27 -'!B13,'- 27 -'!E13,'- 27 -'!H13,'- 28 -'!B13,'- 28 -'!E13,'- 28 -'!H13,'- 29 -'!B13)</f>
        <v>2650272</v>
      </c>
      <c r="H13" s="278">
        <f>G13/'- 3 -'!D13</f>
        <v>0.05695581073820178</v>
      </c>
      <c r="I13" s="362">
        <f>G13/'- 7 -'!F13</f>
        <v>363.3994241053065</v>
      </c>
    </row>
    <row r="14" spans="1:9" ht="13.5" customHeight="1">
      <c r="A14" s="388" t="s">
        <v>366</v>
      </c>
      <c r="B14" s="361">
        <f>SUM('- 24 -'!H14,'- 24 -'!F14,'- 24 -'!D14,'- 24 -'!B14)</f>
        <v>153070</v>
      </c>
      <c r="C14" s="279">
        <f>B14/'- 3 -'!D14</f>
        <v>0.003877032396256773</v>
      </c>
      <c r="D14" s="361">
        <f>SUM('- 25 -'!B14,'- 25 -'!E14,'- 25 -'!H14,'- 26 -'!B14)</f>
        <v>1515455</v>
      </c>
      <c r="E14" s="279">
        <f>D14/'- 3 -'!D14</f>
        <v>0.03838419108949701</v>
      </c>
      <c r="F14" s="361">
        <f>D14/'- 7 -'!F14</f>
        <v>354.1444662553748</v>
      </c>
      <c r="G14" s="361">
        <f>SUM('- 27 -'!B14,'- 27 -'!E14,'- 27 -'!H14,'- 28 -'!B14,'- 28 -'!E14,'- 28 -'!H14,'- 29 -'!B14)</f>
        <v>2795287</v>
      </c>
      <c r="H14" s="279">
        <f>G14/'- 3 -'!D14</f>
        <v>0.07080040671480634</v>
      </c>
      <c r="I14" s="361">
        <f>G14/'- 7 -'!F14</f>
        <v>653.2265376705926</v>
      </c>
    </row>
    <row r="15" spans="1:9" ht="13.5" customHeight="1">
      <c r="A15" s="387" t="s">
        <v>330</v>
      </c>
      <c r="B15" s="362">
        <f>SUM('- 24 -'!H15,'- 24 -'!F15,'- 24 -'!D15,'- 24 -'!B15)</f>
        <v>170127</v>
      </c>
      <c r="C15" s="278">
        <f>B15/'- 3 -'!D15</f>
        <v>0.013549937573453538</v>
      </c>
      <c r="D15" s="362">
        <f>SUM('- 25 -'!B15,'- 25 -'!E15,'- 25 -'!H15,'- 26 -'!B15)</f>
        <v>467927</v>
      </c>
      <c r="E15" s="278">
        <f>D15/'- 3 -'!D15</f>
        <v>0.03726852080465413</v>
      </c>
      <c r="F15" s="362">
        <f>D15/'- 7 -'!F15</f>
        <v>277.5367734282325</v>
      </c>
      <c r="G15" s="362">
        <f>SUM('- 27 -'!B15,'- 27 -'!E15,'- 27 -'!H15,'- 28 -'!B15,'- 28 -'!E15,'- 28 -'!H15,'- 29 -'!B15)</f>
        <v>529278</v>
      </c>
      <c r="H15" s="278">
        <f>G15/'- 3 -'!D15</f>
        <v>0.04215488346354395</v>
      </c>
      <c r="I15" s="362">
        <f>G15/'- 7 -'!F15</f>
        <v>313.9252669039146</v>
      </c>
    </row>
    <row r="16" spans="1:9" ht="13.5" customHeight="1">
      <c r="A16" s="388" t="s">
        <v>331</v>
      </c>
      <c r="B16" s="361">
        <f>SUM('- 24 -'!H16,'- 24 -'!F16,'- 24 -'!D16,'- 24 -'!B16)</f>
        <v>5000</v>
      </c>
      <c r="C16" s="279">
        <f>B16/'- 3 -'!D16</f>
        <v>0.00046365638684818256</v>
      </c>
      <c r="D16" s="361">
        <f>SUM('- 25 -'!B16,'- 25 -'!E16,'- 25 -'!H16,'- 26 -'!B16)</f>
        <v>493219</v>
      </c>
      <c r="E16" s="279">
        <f>D16/'- 3 -'!D16</f>
        <v>0.04573682789297475</v>
      </c>
      <c r="F16" s="361">
        <f>D16/'- 7 -'!F16</f>
        <v>350.01916089474287</v>
      </c>
      <c r="G16" s="361">
        <f>SUM('- 27 -'!B16,'- 27 -'!E16,'- 27 -'!H16,'- 28 -'!B16,'- 28 -'!E16,'- 28 -'!H16,'- 29 -'!B16)</f>
        <v>484544</v>
      </c>
      <c r="H16" s="279">
        <f>G16/'- 3 -'!D16</f>
        <v>0.04493238406179315</v>
      </c>
      <c r="I16" s="361">
        <f>G16/'- 7 -'!F16</f>
        <v>343.8628363801522</v>
      </c>
    </row>
    <row r="17" spans="1:9" ht="13.5" customHeight="1">
      <c r="A17" s="387" t="s">
        <v>332</v>
      </c>
      <c r="B17" s="362">
        <f>SUM('- 24 -'!H17,'- 24 -'!F17,'- 24 -'!D17,'- 24 -'!B17)</f>
        <v>50735</v>
      </c>
      <c r="C17" s="278">
        <f>B17/'- 3 -'!D17</f>
        <v>0.004121888638243684</v>
      </c>
      <c r="D17" s="362">
        <f>SUM('- 25 -'!B17,'- 25 -'!E17,'- 25 -'!H17,'- 26 -'!B17)</f>
        <v>463632</v>
      </c>
      <c r="E17" s="278">
        <f>D17/'- 3 -'!D17</f>
        <v>0.037667083337463214</v>
      </c>
      <c r="F17" s="362">
        <f>D17/'- 7 -'!F17</f>
        <v>295.1791580716632</v>
      </c>
      <c r="G17" s="362">
        <f>SUM('- 27 -'!B17,'- 27 -'!E17,'- 27 -'!H17,'- 28 -'!B17,'- 28 -'!E17,'- 28 -'!H17,'- 29 -'!B17)</f>
        <v>413074</v>
      </c>
      <c r="H17" s="278">
        <f>G17/'- 3 -'!D17</f>
        <v>0.0335595747975534</v>
      </c>
      <c r="I17" s="362">
        <f>G17/'- 7 -'!F17</f>
        <v>262.9905518628874</v>
      </c>
    </row>
    <row r="18" spans="1:9" ht="13.5" customHeight="1">
      <c r="A18" s="388" t="s">
        <v>333</v>
      </c>
      <c r="B18" s="361">
        <f>SUM('- 24 -'!H18,'- 24 -'!F18,'- 24 -'!D18,'- 24 -'!B18)</f>
        <v>628412.13</v>
      </c>
      <c r="C18" s="279">
        <f>B18/'- 3 -'!D18</f>
        <v>0.008688113238208716</v>
      </c>
      <c r="D18" s="361">
        <f>SUM('- 25 -'!B18,'- 25 -'!E18,'- 25 -'!H18,'- 26 -'!B18)</f>
        <v>3913298.1100000003</v>
      </c>
      <c r="E18" s="279">
        <f>D18/'- 3 -'!D18</f>
        <v>0.05410331133256156</v>
      </c>
      <c r="F18" s="361">
        <f>D18/'- 7 -'!F18</f>
        <v>660.0266672288751</v>
      </c>
      <c r="G18" s="361">
        <f>SUM('- 27 -'!B18,'- 27 -'!E18,'- 27 -'!H18,'- 28 -'!B18,'- 28 -'!E18,'- 28 -'!H18,'- 29 -'!B18)</f>
        <v>3823833.5300000003</v>
      </c>
      <c r="H18" s="279">
        <f>G18/'- 3 -'!D18</f>
        <v>0.052866418591727964</v>
      </c>
      <c r="I18" s="361">
        <f>G18/'- 7 -'!F18</f>
        <v>644.9373469387756</v>
      </c>
    </row>
    <row r="19" spans="1:9" ht="13.5" customHeight="1">
      <c r="A19" s="387" t="s">
        <v>334</v>
      </c>
      <c r="B19" s="362">
        <f>SUM('- 24 -'!H19,'- 24 -'!F19,'- 24 -'!D19,'- 24 -'!B19)</f>
        <v>0</v>
      </c>
      <c r="C19" s="278">
        <f>B19/'- 3 -'!D19</f>
        <v>0</v>
      </c>
      <c r="D19" s="362">
        <f>SUM('- 25 -'!B19,'- 25 -'!E19,'- 25 -'!H19,'- 26 -'!B19)</f>
        <v>634324</v>
      </c>
      <c r="E19" s="278">
        <f>D19/'- 3 -'!D19</f>
        <v>0.03587677994243191</v>
      </c>
      <c r="F19" s="362">
        <f>D19/'- 7 -'!F19</f>
        <v>216.69251528712468</v>
      </c>
      <c r="G19" s="362">
        <f>SUM('- 27 -'!B19,'- 27 -'!E19,'- 27 -'!H19,'- 28 -'!B19,'- 28 -'!E19,'- 28 -'!H19,'- 29 -'!B19)</f>
        <v>660184</v>
      </c>
      <c r="H19" s="278">
        <f>G19/'- 3 -'!D19</f>
        <v>0.037339397672978586</v>
      </c>
      <c r="I19" s="362">
        <f>G19/'- 7 -'!F19</f>
        <v>225.52659447272234</v>
      </c>
    </row>
    <row r="20" spans="1:9" ht="13.5" customHeight="1">
      <c r="A20" s="388" t="s">
        <v>335</v>
      </c>
      <c r="B20" s="361">
        <f>SUM('- 24 -'!H20,'- 24 -'!F20,'- 24 -'!D20,'- 24 -'!B20)</f>
        <v>111829</v>
      </c>
      <c r="C20" s="279">
        <f>B20/'- 3 -'!D20</f>
        <v>0.003344410690008069</v>
      </c>
      <c r="D20" s="361">
        <f>SUM('- 25 -'!B20,'- 25 -'!E20,'- 25 -'!H20,'- 26 -'!B20)</f>
        <v>983157</v>
      </c>
      <c r="E20" s="279">
        <f>D20/'- 3 -'!D20</f>
        <v>0.029402755821444016</v>
      </c>
      <c r="F20" s="361">
        <f>D20/'- 7 -'!F20</f>
        <v>160.6203234765561</v>
      </c>
      <c r="G20" s="361">
        <f>SUM('- 27 -'!B20,'- 27 -'!E20,'- 27 -'!H20,'- 28 -'!B20,'- 28 -'!E20,'- 28 -'!H20,'- 29 -'!B20)</f>
        <v>1264610</v>
      </c>
      <c r="H20" s="279">
        <f>G20/'- 3 -'!D20</f>
        <v>0.037820021664247236</v>
      </c>
      <c r="I20" s="361">
        <f>G20/'- 7 -'!F20</f>
        <v>206.60186244077764</v>
      </c>
    </row>
    <row r="21" spans="1:9" ht="13.5" customHeight="1">
      <c r="A21" s="387" t="s">
        <v>336</v>
      </c>
      <c r="B21" s="362">
        <f>SUM('- 24 -'!H21,'- 24 -'!F21,'- 24 -'!D21,'- 24 -'!B21)</f>
        <v>82715</v>
      </c>
      <c r="C21" s="278">
        <f>B21/'- 3 -'!D21</f>
        <v>0.00355558914197055</v>
      </c>
      <c r="D21" s="362">
        <f>SUM('- 25 -'!B21,'- 25 -'!E21,'- 25 -'!H21,'- 26 -'!B21)</f>
        <v>736078</v>
      </c>
      <c r="E21" s="278">
        <f>D21/'- 3 -'!D21</f>
        <v>0.031641068058313467</v>
      </c>
      <c r="F21" s="362">
        <f>D21/'- 7 -'!F21</f>
        <v>222.42037831631112</v>
      </c>
      <c r="G21" s="362">
        <f>SUM('- 27 -'!B21,'- 27 -'!E21,'- 27 -'!H21,'- 28 -'!B21,'- 28 -'!E21,'- 28 -'!H21,'- 29 -'!B21)</f>
        <v>1049155</v>
      </c>
      <c r="H21" s="278">
        <f>G21/'- 3 -'!D21</f>
        <v>0.04509900412554086</v>
      </c>
      <c r="I21" s="362">
        <f>G21/'- 7 -'!F21</f>
        <v>317.022723152233</v>
      </c>
    </row>
    <row r="22" spans="1:9" ht="13.5" customHeight="1">
      <c r="A22" s="388" t="s">
        <v>337</v>
      </c>
      <c r="B22" s="361">
        <f>SUM('- 24 -'!H22,'- 24 -'!F22,'- 24 -'!D22,'- 24 -'!B22)</f>
        <v>33602</v>
      </c>
      <c r="C22" s="279">
        <f>B22/'- 3 -'!D22</f>
        <v>0.002624617998262075</v>
      </c>
      <c r="D22" s="361">
        <f>SUM('- 25 -'!B22,'- 25 -'!E22,'- 25 -'!H22,'- 26 -'!B22)</f>
        <v>457461</v>
      </c>
      <c r="E22" s="279">
        <f>D22/'- 3 -'!D22</f>
        <v>0.0357318128118257</v>
      </c>
      <c r="F22" s="361">
        <f>D22/'- 7 -'!F22</f>
        <v>270.68698224852074</v>
      </c>
      <c r="G22" s="361">
        <f>SUM('- 27 -'!B22,'- 27 -'!E22,'- 27 -'!H22,'- 28 -'!B22,'- 28 -'!E22,'- 28 -'!H22,'- 29 -'!B22)</f>
        <v>809480</v>
      </c>
      <c r="H22" s="279">
        <f>G22/'- 3 -'!D22</f>
        <v>0.06322765839036916</v>
      </c>
      <c r="I22" s="361">
        <f>G22/'- 7 -'!F22</f>
        <v>478.9822485207101</v>
      </c>
    </row>
    <row r="23" spans="1:9" ht="13.5" customHeight="1">
      <c r="A23" s="387" t="s">
        <v>338</v>
      </c>
      <c r="B23" s="362">
        <f>SUM('- 24 -'!H23,'- 24 -'!F23,'- 24 -'!D23,'- 24 -'!B23)</f>
        <v>93918</v>
      </c>
      <c r="C23" s="278">
        <f>B23/'- 3 -'!D23</f>
        <v>0.008773438410075619</v>
      </c>
      <c r="D23" s="362">
        <f>SUM('- 25 -'!B23,'- 25 -'!E23,'- 25 -'!H23,'- 26 -'!B23)</f>
        <v>349321</v>
      </c>
      <c r="E23" s="278">
        <f>D23/'- 3 -'!D23</f>
        <v>0.03263215016126861</v>
      </c>
      <c r="F23" s="362">
        <f>D23/'- 7 -'!F23</f>
        <v>254.7742688352418</v>
      </c>
      <c r="G23" s="362">
        <f>SUM('- 27 -'!B23,'- 27 -'!E23,'- 27 -'!H23,'- 28 -'!B23,'- 28 -'!E23,'- 28 -'!H23,'- 29 -'!B23)</f>
        <v>435357</v>
      </c>
      <c r="H23" s="278">
        <f>G23/'- 3 -'!D23</f>
        <v>0.04066928411907506</v>
      </c>
      <c r="I23" s="362">
        <f>G23/'- 7 -'!F23</f>
        <v>317.5238859310043</v>
      </c>
    </row>
    <row r="24" spans="1:9" ht="13.5" customHeight="1">
      <c r="A24" s="388" t="s">
        <v>339</v>
      </c>
      <c r="B24" s="361">
        <f>SUM('- 24 -'!H24,'- 24 -'!F24,'- 24 -'!D24,'- 24 -'!B24)</f>
        <v>308454</v>
      </c>
      <c r="C24" s="279">
        <f>B24/'- 3 -'!D24</f>
        <v>0.00925101785242113</v>
      </c>
      <c r="D24" s="361">
        <f>SUM('- 25 -'!B24,'- 25 -'!E24,'- 25 -'!H24,'- 26 -'!B24)</f>
        <v>903831</v>
      </c>
      <c r="E24" s="279">
        <f>D24/'- 3 -'!D24</f>
        <v>0.027107305194847994</v>
      </c>
      <c r="F24" s="361">
        <f>D24/'- 7 -'!F24</f>
        <v>195.9865125658651</v>
      </c>
      <c r="G24" s="361">
        <f>SUM('- 27 -'!B24,'- 27 -'!E24,'- 27 -'!H24,'- 28 -'!B24,'- 28 -'!E24,'- 28 -'!H24,'- 29 -'!B24)</f>
        <v>1320900</v>
      </c>
      <c r="H24" s="279">
        <f>G24/'- 3 -'!D24</f>
        <v>0.03961585676069389</v>
      </c>
      <c r="I24" s="361">
        <f>G24/'- 7 -'!F24</f>
        <v>286.4236615564759</v>
      </c>
    </row>
    <row r="25" spans="1:9" ht="13.5" customHeight="1">
      <c r="A25" s="387" t="s">
        <v>340</v>
      </c>
      <c r="B25" s="362">
        <f>SUM('- 24 -'!H25,'- 24 -'!F25,'- 24 -'!D25,'- 24 -'!B25)</f>
        <v>480850</v>
      </c>
      <c r="C25" s="278">
        <f>B25/'- 3 -'!D25</f>
        <v>0.004646936923472627</v>
      </c>
      <c r="D25" s="362">
        <f>SUM('- 25 -'!B25,'- 25 -'!E25,'- 25 -'!H25,'- 26 -'!B25)</f>
        <v>3407442</v>
      </c>
      <c r="E25" s="278">
        <f>D25/'- 3 -'!D25</f>
        <v>0.032929537370055974</v>
      </c>
      <c r="F25" s="362">
        <f>D25/'- 7 -'!F25</f>
        <v>228.85326276764366</v>
      </c>
      <c r="G25" s="362">
        <f>SUM('- 27 -'!B25,'- 27 -'!E25,'- 27 -'!H25,'- 28 -'!B25,'- 28 -'!E25,'- 28 -'!H25,'- 29 -'!B25)</f>
        <v>6841383</v>
      </c>
      <c r="H25" s="278">
        <f>G25/'- 3 -'!D25</f>
        <v>0.06611516121517715</v>
      </c>
      <c r="I25" s="362">
        <f>G25/'- 7 -'!F25</f>
        <v>459.48627192864626</v>
      </c>
    </row>
    <row r="26" spans="1:9" ht="13.5" customHeight="1">
      <c r="A26" s="388" t="s">
        <v>341</v>
      </c>
      <c r="B26" s="361">
        <f>SUM('- 24 -'!H26,'- 24 -'!F26,'- 24 -'!D26,'- 24 -'!B26)</f>
        <v>49431.91</v>
      </c>
      <c r="C26" s="279">
        <f>B26/'- 3 -'!D26</f>
        <v>0.0019147517182707473</v>
      </c>
      <c r="D26" s="361">
        <f>SUM('- 25 -'!B26,'- 25 -'!E26,'- 25 -'!H26,'- 26 -'!B26)</f>
        <v>1133640.22</v>
      </c>
      <c r="E26" s="279">
        <f>D26/'- 3 -'!D26</f>
        <v>0.04391170721798587</v>
      </c>
      <c r="F26" s="361">
        <f>D26/'- 7 -'!F26</f>
        <v>338.40006567164176</v>
      </c>
      <c r="G26" s="361">
        <f>SUM('- 27 -'!B26,'- 27 -'!E26,'- 27 -'!H26,'- 28 -'!B26,'- 28 -'!E26,'- 28 -'!H26,'- 29 -'!B26)</f>
        <v>1330031.84</v>
      </c>
      <c r="H26" s="279">
        <f>G26/'- 3 -'!D26</f>
        <v>0.051518963175705805</v>
      </c>
      <c r="I26" s="361">
        <f>G26/'- 7 -'!F26</f>
        <v>397.0244298507463</v>
      </c>
    </row>
    <row r="27" spans="1:9" ht="13.5" customHeight="1">
      <c r="A27" s="387" t="s">
        <v>342</v>
      </c>
      <c r="B27" s="362">
        <f>SUM('- 24 -'!H27,'- 24 -'!F27,'- 24 -'!D27,'- 24 -'!B27)</f>
        <v>8335</v>
      </c>
      <c r="C27" s="278">
        <f>B27/'- 3 -'!D27</f>
        <v>0.00032444105345912744</v>
      </c>
      <c r="D27" s="362">
        <f>SUM('- 25 -'!B27,'- 25 -'!E27,'- 25 -'!H27,'- 26 -'!B27)</f>
        <v>864245</v>
      </c>
      <c r="E27" s="278">
        <f>D27/'- 3 -'!D27</f>
        <v>0.033640858817850464</v>
      </c>
      <c r="F27" s="362">
        <f>D27/'- 7 -'!F27</f>
        <v>260.4481210258265</v>
      </c>
      <c r="G27" s="362">
        <f>SUM('- 27 -'!B27,'- 27 -'!E27,'- 27 -'!H27,'- 28 -'!B27,'- 28 -'!E27,'- 28 -'!H27,'- 29 -'!B27)</f>
        <v>1516964</v>
      </c>
      <c r="H27" s="278">
        <f>G27/'- 3 -'!D27</f>
        <v>0.059048038178712875</v>
      </c>
      <c r="I27" s="362">
        <f>G27/'- 7 -'!F27</f>
        <v>457.15095078805416</v>
      </c>
    </row>
    <row r="28" spans="1:9" ht="13.5" customHeight="1">
      <c r="A28" s="388" t="s">
        <v>343</v>
      </c>
      <c r="B28" s="361">
        <f>SUM('- 24 -'!H28,'- 24 -'!F28,'- 24 -'!D28,'- 24 -'!B28)</f>
        <v>23560.05</v>
      </c>
      <c r="C28" s="279">
        <f>B28/'- 3 -'!D28</f>
        <v>0.0014640014835548098</v>
      </c>
      <c r="D28" s="361">
        <f>SUM('- 25 -'!B28,'- 25 -'!E28,'- 25 -'!H28,'- 26 -'!B28)</f>
        <v>728950.02</v>
      </c>
      <c r="E28" s="279">
        <f>D28/'- 3 -'!D28</f>
        <v>0.045296334715644</v>
      </c>
      <c r="F28" s="361">
        <f>D28/'- 7 -'!F28</f>
        <v>340.43994956099385</v>
      </c>
      <c r="G28" s="361">
        <f>SUM('- 27 -'!B28,'- 27 -'!E28,'- 27 -'!H28,'- 28 -'!B28,'- 28 -'!E28,'- 28 -'!H28,'- 29 -'!B28)</f>
        <v>551940</v>
      </c>
      <c r="H28" s="279">
        <f>G28/'- 3 -'!D28</f>
        <v>0.03429708251184704</v>
      </c>
      <c r="I28" s="361">
        <f>G28/'- 7 -'!F28</f>
        <v>257.7713431720531</v>
      </c>
    </row>
    <row r="29" spans="1:9" ht="13.5" customHeight="1">
      <c r="A29" s="387" t="s">
        <v>344</v>
      </c>
      <c r="B29" s="362">
        <f>SUM('- 24 -'!H29,'- 24 -'!F29,'- 24 -'!D29,'- 24 -'!B29)</f>
        <v>125859</v>
      </c>
      <c r="C29" s="278">
        <f>B29/'- 3 -'!D29</f>
        <v>0.0012895948388910179</v>
      </c>
      <c r="D29" s="362">
        <f>SUM('- 25 -'!B29,'- 25 -'!E29,'- 25 -'!H29,'- 26 -'!B29)</f>
        <v>4034495</v>
      </c>
      <c r="E29" s="278">
        <f>D29/'- 3 -'!D29</f>
        <v>0.04133883098969178</v>
      </c>
      <c r="F29" s="362">
        <f>D29/'- 7 -'!F29</f>
        <v>308.49715932986186</v>
      </c>
      <c r="G29" s="362">
        <f>SUM('- 27 -'!B29,'- 27 -'!E29,'- 27 -'!H29,'- 28 -'!B29,'- 28 -'!E29,'- 28 -'!H29,'- 29 -'!B29)</f>
        <v>5970534</v>
      </c>
      <c r="H29" s="278">
        <f>G29/'- 3 -'!D29</f>
        <v>0.06117615610980021</v>
      </c>
      <c r="I29" s="362">
        <f>G29/'- 7 -'!F29</f>
        <v>456.5361411235749</v>
      </c>
    </row>
    <row r="30" spans="1:9" ht="13.5" customHeight="1">
      <c r="A30" s="388" t="s">
        <v>345</v>
      </c>
      <c r="B30" s="361">
        <f>SUM('- 24 -'!H30,'- 24 -'!F30,'- 24 -'!D30,'- 24 -'!B30)</f>
        <v>5006</v>
      </c>
      <c r="C30" s="279">
        <f>B30/'- 3 -'!D30</f>
        <v>0.0005195668933553144</v>
      </c>
      <c r="D30" s="361">
        <f>SUM('- 25 -'!B30,'- 25 -'!E30,'- 25 -'!H30,'- 26 -'!B30)</f>
        <v>459229</v>
      </c>
      <c r="E30" s="279">
        <f>D30/'- 3 -'!D30</f>
        <v>0.04766284156385691</v>
      </c>
      <c r="F30" s="361">
        <f>D30/'- 7 -'!F30</f>
        <v>358.0453765788243</v>
      </c>
      <c r="G30" s="361">
        <f>SUM('- 27 -'!B30,'- 27 -'!E30,'- 27 -'!H30,'- 28 -'!B30,'- 28 -'!E30,'- 28 -'!H30,'- 29 -'!B30)</f>
        <v>396276</v>
      </c>
      <c r="H30" s="279">
        <f>G30/'- 3 -'!D30</f>
        <v>0.04112902321839205</v>
      </c>
      <c r="I30" s="361">
        <f>G30/'- 7 -'!F30</f>
        <v>308.9630438172462</v>
      </c>
    </row>
    <row r="31" spans="1:9" ht="13.5" customHeight="1">
      <c r="A31" s="387" t="s">
        <v>346</v>
      </c>
      <c r="B31" s="362">
        <f>SUM('- 24 -'!H31,'- 24 -'!F31,'- 24 -'!D31,'- 24 -'!B31)</f>
        <v>7768</v>
      </c>
      <c r="C31" s="278">
        <f>B31/'- 3 -'!D31</f>
        <v>0.00031842410565580733</v>
      </c>
      <c r="D31" s="362">
        <f>SUM('- 25 -'!B31,'- 25 -'!E31,'- 25 -'!H31,'- 26 -'!B31)</f>
        <v>749500</v>
      </c>
      <c r="E31" s="278">
        <f>D31/'- 3 -'!D31</f>
        <v>0.030723335117022087</v>
      </c>
      <c r="F31" s="362">
        <f>D31/'- 7 -'!F31</f>
        <v>222.71417109915905</v>
      </c>
      <c r="G31" s="362">
        <f>SUM('- 27 -'!B31,'- 27 -'!E31,'- 27 -'!H31,'- 28 -'!B31,'- 28 -'!E31,'- 28 -'!H31,'- 29 -'!B31)</f>
        <v>1155386</v>
      </c>
      <c r="H31" s="278">
        <f>G31/'- 3 -'!D31</f>
        <v>0.0473613225717354</v>
      </c>
      <c r="I31" s="362">
        <f>G31/'- 7 -'!F31</f>
        <v>343.32332927227884</v>
      </c>
    </row>
    <row r="32" spans="1:9" ht="13.5" customHeight="1">
      <c r="A32" s="388" t="s">
        <v>347</v>
      </c>
      <c r="B32" s="361">
        <f>SUM('- 24 -'!H32,'- 24 -'!F32,'- 24 -'!D32,'- 24 -'!B32)</f>
        <v>33181</v>
      </c>
      <c r="C32" s="279">
        <f>B32/'- 3 -'!D32</f>
        <v>0.0018253455509340778</v>
      </c>
      <c r="D32" s="361">
        <f>SUM('- 25 -'!B32,'- 25 -'!E32,'- 25 -'!H32,'- 26 -'!B32)</f>
        <v>669068</v>
      </c>
      <c r="E32" s="279">
        <f>D32/'- 3 -'!D32</f>
        <v>0.036806615143376076</v>
      </c>
      <c r="F32" s="361">
        <f>D32/'- 7 -'!F32</f>
        <v>284.70978723404255</v>
      </c>
      <c r="G32" s="361">
        <f>SUM('- 27 -'!B32,'- 27 -'!E32,'- 27 -'!H32,'- 28 -'!B32,'- 28 -'!E32,'- 28 -'!H32,'- 29 -'!B32)</f>
        <v>591123</v>
      </c>
      <c r="H32" s="279">
        <f>G32/'- 3 -'!D32</f>
        <v>0.03251872270591016</v>
      </c>
      <c r="I32" s="361">
        <f>G32/'- 7 -'!F32</f>
        <v>251.54170212765956</v>
      </c>
    </row>
    <row r="33" spans="1:9" ht="13.5" customHeight="1">
      <c r="A33" s="387" t="s">
        <v>348</v>
      </c>
      <c r="B33" s="362">
        <f>SUM('- 24 -'!H33,'- 24 -'!F33,'- 24 -'!D33,'- 24 -'!B33)</f>
        <v>10843</v>
      </c>
      <c r="C33" s="278">
        <f>B33/'- 3 -'!D33</f>
        <v>0.0005002100623922441</v>
      </c>
      <c r="D33" s="362">
        <f>SUM('- 25 -'!B33,'- 25 -'!E33,'- 25 -'!H33,'- 26 -'!B33)</f>
        <v>1112454</v>
      </c>
      <c r="E33" s="278">
        <f>D33/'- 3 -'!D33</f>
        <v>0.05131980860910279</v>
      </c>
      <c r="F33" s="362">
        <f>D33/'- 7 -'!F33</f>
        <v>446.2131482892784</v>
      </c>
      <c r="G33" s="362">
        <f>SUM('- 27 -'!B33,'- 27 -'!E33,'- 27 -'!H33,'- 28 -'!B33,'- 28 -'!E33,'- 28 -'!H33,'- 29 -'!B33)</f>
        <v>630488</v>
      </c>
      <c r="H33" s="278">
        <f>G33/'- 3 -'!D33</f>
        <v>0.029085718142355547</v>
      </c>
      <c r="I33" s="362">
        <f>G33/'- 7 -'!F33</f>
        <v>252.89318519112751</v>
      </c>
    </row>
    <row r="34" spans="1:9" ht="13.5" customHeight="1">
      <c r="A34" s="388" t="s">
        <v>349</v>
      </c>
      <c r="B34" s="361">
        <f>SUM('- 24 -'!H34,'- 24 -'!F34,'- 24 -'!D34,'- 24 -'!B34)</f>
        <v>5667.43</v>
      </c>
      <c r="C34" s="279">
        <f>B34/'- 3 -'!D34</f>
        <v>0.00034489657959521896</v>
      </c>
      <c r="D34" s="361">
        <f>SUM('- 25 -'!B34,'- 25 -'!E34,'- 25 -'!H34,'- 26 -'!B34)</f>
        <v>761134.3</v>
      </c>
      <c r="E34" s="279">
        <f>D34/'- 3 -'!D34</f>
        <v>0.04631951637384163</v>
      </c>
      <c r="F34" s="361">
        <f>D34/'- 7 -'!F34</f>
        <v>344.09326401446657</v>
      </c>
      <c r="G34" s="361">
        <f>SUM('- 27 -'!B34,'- 27 -'!E34,'- 27 -'!H34,'- 28 -'!B34,'- 28 -'!E34,'- 28 -'!H34,'- 29 -'!B34)</f>
        <v>582563</v>
      </c>
      <c r="H34" s="279">
        <f>G34/'- 3 -'!D34</f>
        <v>0.03545239837081879</v>
      </c>
      <c r="I34" s="361">
        <f>G34/'- 7 -'!F34</f>
        <v>263.36482820976494</v>
      </c>
    </row>
    <row r="35" spans="1:9" ht="13.5" customHeight="1">
      <c r="A35" s="387" t="s">
        <v>350</v>
      </c>
      <c r="B35" s="362">
        <f>SUM('- 24 -'!H35,'- 24 -'!F35,'- 24 -'!D35,'- 24 -'!B35)</f>
        <v>535638</v>
      </c>
      <c r="C35" s="278">
        <f>B35/'- 3 -'!D35</f>
        <v>0.004377051030203897</v>
      </c>
      <c r="D35" s="362">
        <f>SUM('- 25 -'!B35,'- 25 -'!E35,'- 25 -'!H35,'- 26 -'!B35)</f>
        <v>3611964</v>
      </c>
      <c r="E35" s="278">
        <f>D35/'- 3 -'!D35</f>
        <v>0.029515737769275876</v>
      </c>
      <c r="F35" s="362">
        <f>D35/'- 7 -'!F35</f>
        <v>202.7177469594841</v>
      </c>
      <c r="G35" s="362">
        <f>SUM('- 27 -'!B35,'- 27 -'!E35,'- 27 -'!H35,'- 28 -'!B35,'- 28 -'!E35,'- 28 -'!H35,'- 29 -'!B35)</f>
        <v>7699155</v>
      </c>
      <c r="H35" s="278">
        <f>G35/'- 3 -'!D35</f>
        <v>0.06291486848291102</v>
      </c>
      <c r="I35" s="362">
        <f>G35/'- 7 -'!F35</f>
        <v>432.1071182026861</v>
      </c>
    </row>
    <row r="36" spans="1:9" ht="13.5" customHeight="1">
      <c r="A36" s="388" t="s">
        <v>351</v>
      </c>
      <c r="B36" s="361">
        <f>SUM('- 24 -'!H36,'- 24 -'!F36,'- 24 -'!D36,'- 24 -'!B36)</f>
        <v>5975</v>
      </c>
      <c r="C36" s="279">
        <f>B36/'- 3 -'!D36</f>
        <v>0.0003752731721762735</v>
      </c>
      <c r="D36" s="361">
        <f>SUM('- 25 -'!B36,'- 25 -'!E36,'- 25 -'!H36,'- 26 -'!B36)</f>
        <v>577281</v>
      </c>
      <c r="E36" s="279">
        <f>D36/'- 3 -'!D36</f>
        <v>0.03625741792587303</v>
      </c>
      <c r="F36" s="361">
        <f>D36/'- 7 -'!F36</f>
        <v>271.78954802259886</v>
      </c>
      <c r="G36" s="361">
        <f>SUM('- 27 -'!B36,'- 27 -'!E36,'- 27 -'!H36,'- 28 -'!B36,'- 28 -'!E36,'- 28 -'!H36,'- 29 -'!B36)</f>
        <v>587054</v>
      </c>
      <c r="H36" s="279">
        <f>G36/'- 3 -'!D36</f>
        <v>0.03687123294037993</v>
      </c>
      <c r="I36" s="361">
        <f>G36/'- 7 -'!F36</f>
        <v>276.3907721280603</v>
      </c>
    </row>
    <row r="37" spans="1:9" ht="13.5" customHeight="1">
      <c r="A37" s="387" t="s">
        <v>352</v>
      </c>
      <c r="B37" s="362">
        <f>SUM('- 24 -'!H37,'- 24 -'!F37,'- 24 -'!D37,'- 24 -'!B37)</f>
        <v>8798</v>
      </c>
      <c r="C37" s="278">
        <f>B37/'- 3 -'!D37</f>
        <v>0.0003761415766454302</v>
      </c>
      <c r="D37" s="362">
        <f>SUM('- 25 -'!B37,'- 25 -'!E37,'- 25 -'!H37,'- 26 -'!B37)</f>
        <v>973942</v>
      </c>
      <c r="E37" s="278">
        <f>D37/'- 3 -'!D37</f>
        <v>0.041639017895112936</v>
      </c>
      <c r="F37" s="362">
        <f>D37/'- 7 -'!F37</f>
        <v>288.1399958581107</v>
      </c>
      <c r="G37" s="362">
        <f>SUM('- 27 -'!B37,'- 27 -'!E37,'- 27 -'!H37,'- 28 -'!B37,'- 28 -'!E37,'- 28 -'!H37,'- 29 -'!B37)</f>
        <v>933023</v>
      </c>
      <c r="H37" s="278">
        <f>G37/'- 3 -'!D37</f>
        <v>0.03988960471316768</v>
      </c>
      <c r="I37" s="362">
        <f>G37/'- 7 -'!F37</f>
        <v>276.0341410017455</v>
      </c>
    </row>
    <row r="38" spans="1:9" ht="13.5" customHeight="1">
      <c r="A38" s="388" t="s">
        <v>353</v>
      </c>
      <c r="B38" s="361">
        <f>SUM('- 24 -'!H38,'- 24 -'!F38,'- 24 -'!D38,'- 24 -'!B38)</f>
        <v>593546</v>
      </c>
      <c r="C38" s="279">
        <f>B38/'- 3 -'!D38</f>
        <v>0.009644792300770231</v>
      </c>
      <c r="D38" s="361">
        <f>SUM('- 25 -'!B38,'- 25 -'!E38,'- 25 -'!H38,'- 26 -'!B38)</f>
        <v>1924989</v>
      </c>
      <c r="E38" s="279">
        <f>D38/'- 3 -'!D38</f>
        <v>0.0312800003475171</v>
      </c>
      <c r="F38" s="361">
        <f>D38/'- 7 -'!F38</f>
        <v>225.8448993957881</v>
      </c>
      <c r="G38" s="361">
        <f>SUM('- 27 -'!B38,'- 27 -'!E38,'- 27 -'!H38,'- 28 -'!B38,'- 28 -'!E38,'- 28 -'!H38,'- 29 -'!B38)</f>
        <v>3089487</v>
      </c>
      <c r="H38" s="279">
        <f>G38/'- 3 -'!D38</f>
        <v>0.05020244501846482</v>
      </c>
      <c r="I38" s="361">
        <f>G38/'- 7 -'!F38</f>
        <v>362.4669443303807</v>
      </c>
    </row>
    <row r="39" spans="1:9" ht="13.5" customHeight="1">
      <c r="A39" s="387" t="s">
        <v>354</v>
      </c>
      <c r="B39" s="362">
        <f>SUM('- 24 -'!H39,'- 24 -'!F39,'- 24 -'!D39,'- 24 -'!B39)</f>
        <v>25099</v>
      </c>
      <c r="C39" s="278">
        <f>B39/'- 3 -'!D39</f>
        <v>0.001709589427669027</v>
      </c>
      <c r="D39" s="362">
        <f>SUM('- 25 -'!B39,'- 25 -'!E39,'- 25 -'!H39,'- 26 -'!B39)</f>
        <v>841202</v>
      </c>
      <c r="E39" s="278">
        <f>D39/'- 3 -'!D39</f>
        <v>0.057297503714651615</v>
      </c>
      <c r="F39" s="362">
        <f>D39/'- 7 -'!F39</f>
        <v>465.0093974571586</v>
      </c>
      <c r="G39" s="362">
        <f>SUM('- 27 -'!B39,'- 27 -'!E39,'- 27 -'!H39,'- 28 -'!B39,'- 28 -'!E39,'- 28 -'!H39,'- 29 -'!B39)</f>
        <v>414641</v>
      </c>
      <c r="H39" s="278">
        <f>G39/'- 3 -'!D39</f>
        <v>0.028242793333523766</v>
      </c>
      <c r="I39" s="362">
        <f>G39/'- 7 -'!F39</f>
        <v>229.21006080707573</v>
      </c>
    </row>
    <row r="40" spans="1:9" ht="13.5" customHeight="1">
      <c r="A40" s="388" t="s">
        <v>355</v>
      </c>
      <c r="B40" s="361">
        <f>SUM('- 24 -'!H40,'- 24 -'!F40,'- 24 -'!D40,'- 24 -'!B40)</f>
        <v>489496</v>
      </c>
      <c r="C40" s="279">
        <f>B40/'- 3 -'!D40</f>
        <v>0.007886045501871634</v>
      </c>
      <c r="D40" s="361">
        <f>SUM('- 25 -'!B40,'- 25 -'!E40,'- 25 -'!H40,'- 26 -'!B40)</f>
        <v>2286023</v>
      </c>
      <c r="E40" s="279">
        <f>D40/'- 3 -'!D40</f>
        <v>0.03682906785004392</v>
      </c>
      <c r="F40" s="361">
        <f>D40/'- 7 -'!F40</f>
        <v>250.67828299166064</v>
      </c>
      <c r="G40" s="361">
        <f>SUM('- 27 -'!B40,'- 27 -'!E40,'- 27 -'!H40,'- 28 -'!B40,'- 28 -'!E40,'- 28 -'!H40,'- 29 -'!B40)</f>
        <v>2550699</v>
      </c>
      <c r="H40" s="279">
        <f>G40/'- 3 -'!D40</f>
        <v>0.04109314146709774</v>
      </c>
      <c r="I40" s="361">
        <f>G40/'- 7 -'!F40</f>
        <v>279.70184278484766</v>
      </c>
    </row>
    <row r="41" spans="1:9" ht="13.5" customHeight="1">
      <c r="A41" s="387" t="s">
        <v>356</v>
      </c>
      <c r="B41" s="362">
        <f>SUM('- 24 -'!H41,'- 24 -'!F41,'- 24 -'!D41,'- 24 -'!B41)</f>
        <v>85229</v>
      </c>
      <c r="C41" s="278">
        <f>B41/'- 3 -'!D41</f>
        <v>0.0022692366523693937</v>
      </c>
      <c r="D41" s="362">
        <f>SUM('- 25 -'!B41,'- 25 -'!E41,'- 25 -'!H41,'- 26 -'!B41)</f>
        <v>1579772</v>
      </c>
      <c r="E41" s="278">
        <f>D41/'- 3 -'!D41</f>
        <v>0.04206169877373784</v>
      </c>
      <c r="F41" s="362">
        <f>D41/'- 7 -'!F41</f>
        <v>321.3662069246104</v>
      </c>
      <c r="G41" s="362">
        <f>SUM('- 27 -'!B41,'- 27 -'!E41,'- 27 -'!H41,'- 28 -'!B41,'- 28 -'!E41,'- 28 -'!H41,'- 29 -'!B41)</f>
        <v>1371964</v>
      </c>
      <c r="H41" s="278">
        <f>G41/'- 3 -'!D41</f>
        <v>0.03652877535265371</v>
      </c>
      <c r="I41" s="362">
        <f>G41/'- 7 -'!F41</f>
        <v>279.09272142886203</v>
      </c>
    </row>
    <row r="42" spans="1:9" ht="13.5" customHeight="1">
      <c r="A42" s="388" t="s">
        <v>357</v>
      </c>
      <c r="B42" s="361">
        <f>SUM('- 24 -'!H42,'- 24 -'!F42,'- 24 -'!D42,'- 24 -'!B42)</f>
        <v>77724</v>
      </c>
      <c r="C42" s="279">
        <f>B42/'- 3 -'!D42</f>
        <v>0.005345511926783186</v>
      </c>
      <c r="D42" s="361">
        <f>SUM('- 25 -'!B42,'- 25 -'!E42,'- 25 -'!H42,'- 26 -'!B42)</f>
        <v>524160</v>
      </c>
      <c r="E42" s="279">
        <f>D42/'- 3 -'!D42</f>
        <v>0.03604939956181713</v>
      </c>
      <c r="F42" s="361">
        <f>D42/'- 7 -'!F42</f>
        <v>278.7640270169654</v>
      </c>
      <c r="G42" s="361">
        <f>SUM('- 27 -'!B42,'- 27 -'!E42,'- 27 -'!H42,'- 28 -'!B42,'- 28 -'!E42,'- 28 -'!H42,'- 29 -'!B42)</f>
        <v>498986</v>
      </c>
      <c r="H42" s="279">
        <f>G42/'- 3 -'!D42</f>
        <v>0.034318043516775185</v>
      </c>
      <c r="I42" s="361">
        <f>G42/'- 7 -'!F42</f>
        <v>265.37573791416264</v>
      </c>
    </row>
    <row r="43" spans="1:9" ht="13.5" customHeight="1">
      <c r="A43" s="387" t="s">
        <v>358</v>
      </c>
      <c r="B43" s="362">
        <f>SUM('- 24 -'!H43,'- 24 -'!F43,'- 24 -'!D43,'- 24 -'!B43)</f>
        <v>8362</v>
      </c>
      <c r="C43" s="278">
        <f>B43/'- 3 -'!D43</f>
        <v>0.0009174341116748373</v>
      </c>
      <c r="D43" s="362">
        <f>SUM('- 25 -'!B43,'- 25 -'!E43,'- 25 -'!H43,'- 26 -'!B43)</f>
        <v>450507</v>
      </c>
      <c r="E43" s="278">
        <f>D43/'- 3 -'!D43</f>
        <v>0.04942722905385027</v>
      </c>
      <c r="F43" s="362">
        <f>D43/'- 7 -'!F43</f>
        <v>369.5709598031173</v>
      </c>
      <c r="G43" s="362">
        <f>SUM('- 27 -'!B43,'- 27 -'!E43,'- 27 -'!H43,'- 28 -'!B43,'- 28 -'!E43,'- 28 -'!H43,'- 29 -'!B43)</f>
        <v>331502</v>
      </c>
      <c r="H43" s="278">
        <f>G43/'- 3 -'!D43</f>
        <v>0.03637063416508394</v>
      </c>
      <c r="I43" s="362">
        <f>G43/'- 7 -'!F43</f>
        <v>271.9458572600492</v>
      </c>
    </row>
    <row r="44" spans="1:9" ht="13.5" customHeight="1">
      <c r="A44" s="388" t="s">
        <v>359</v>
      </c>
      <c r="B44" s="361">
        <f>SUM('- 24 -'!H44,'- 24 -'!F44,'- 24 -'!D44,'- 24 -'!B44)</f>
        <v>7074</v>
      </c>
      <c r="C44" s="279">
        <f>B44/'- 3 -'!D44</f>
        <v>0.0010807777937020453</v>
      </c>
      <c r="D44" s="361">
        <f>SUM('- 25 -'!B44,'- 25 -'!E44,'- 25 -'!H44,'- 26 -'!B44)</f>
        <v>271499.58999999997</v>
      </c>
      <c r="E44" s="279">
        <f>D44/'- 3 -'!D44</f>
        <v>0.041480170747979904</v>
      </c>
      <c r="F44" s="361">
        <f>D44/'- 7 -'!F44</f>
        <v>331.70383628588877</v>
      </c>
      <c r="G44" s="361">
        <f>SUM('- 27 -'!B44,'- 27 -'!E44,'- 27 -'!H44,'- 28 -'!B44,'- 28 -'!E44,'- 28 -'!H44,'- 29 -'!B44)</f>
        <v>176720</v>
      </c>
      <c r="H44" s="279">
        <f>G44/'- 3 -'!D44</f>
        <v>0.02699958322067083</v>
      </c>
      <c r="I44" s="361">
        <f>G44/'- 7 -'!F44</f>
        <v>215.90714722052536</v>
      </c>
    </row>
    <row r="45" spans="1:9" ht="13.5" customHeight="1">
      <c r="A45" s="387" t="s">
        <v>360</v>
      </c>
      <c r="B45" s="362">
        <f>SUM('- 24 -'!H45,'- 24 -'!F45,'- 24 -'!D45,'- 24 -'!B45)</f>
        <v>8595</v>
      </c>
      <c r="C45" s="278">
        <f>B45/'- 3 -'!D45</f>
        <v>0.0008691651160909311</v>
      </c>
      <c r="D45" s="362">
        <f>SUM('- 25 -'!B45,'- 25 -'!E45,'- 25 -'!H45,'- 26 -'!B45)</f>
        <v>362191</v>
      </c>
      <c r="E45" s="278">
        <f>D45/'- 3 -'!D45</f>
        <v>0.03662638540571151</v>
      </c>
      <c r="F45" s="362">
        <f>D45/'- 7 -'!F45</f>
        <v>248.41632373113853</v>
      </c>
      <c r="G45" s="362">
        <f>SUM('- 27 -'!B45,'- 27 -'!E45,'- 27 -'!H45,'- 28 -'!B45,'- 28 -'!E45,'- 28 -'!H45,'- 29 -'!B45)</f>
        <v>592414</v>
      </c>
      <c r="H45" s="278">
        <f>G45/'- 3 -'!D45</f>
        <v>0.059907572202896206</v>
      </c>
      <c r="I45" s="362">
        <f>G45/'- 7 -'!F45</f>
        <v>406.3196159122085</v>
      </c>
    </row>
    <row r="46" spans="1:9" ht="13.5" customHeight="1">
      <c r="A46" s="388" t="s">
        <v>361</v>
      </c>
      <c r="B46" s="361">
        <f>SUM('- 24 -'!H46,'- 24 -'!F46,'- 24 -'!D46,'- 24 -'!B46)</f>
        <v>4801839</v>
      </c>
      <c r="C46" s="279">
        <f>B46/'- 3 -'!D46</f>
        <v>0.01916377649906963</v>
      </c>
      <c r="D46" s="361">
        <f>SUM('- 25 -'!B46,'- 25 -'!E46,'- 25 -'!H46,'- 26 -'!B46)</f>
        <v>7217494</v>
      </c>
      <c r="E46" s="279">
        <f>D46/'- 3 -'!D46</f>
        <v>0.028804473015312686</v>
      </c>
      <c r="F46" s="361">
        <f>D46/'- 7 -'!F46</f>
        <v>234.15936151575121</v>
      </c>
      <c r="G46" s="361">
        <f>SUM('- 27 -'!B46,'- 27 -'!E46,'- 27 -'!H46,'- 28 -'!B46,'- 28 -'!E46,'- 28 -'!H46,'- 29 -'!B46)</f>
        <v>12044738</v>
      </c>
      <c r="H46" s="279">
        <f>G46/'- 3 -'!D46</f>
        <v>0.04806963894912989</v>
      </c>
      <c r="I46" s="361">
        <f>G46/'- 7 -'!F46</f>
        <v>390.77111248093956</v>
      </c>
    </row>
    <row r="47" spans="1:9" ht="13.5" customHeight="1">
      <c r="A47" s="387" t="s">
        <v>365</v>
      </c>
      <c r="B47" s="362">
        <f>SUM('- 24 -'!H47,'- 24 -'!F47,'- 24 -'!D47,'- 24 -'!B47)</f>
        <v>302018</v>
      </c>
      <c r="C47" s="278">
        <f>B47/'- 3 -'!D47</f>
        <v>0.05429789899430823</v>
      </c>
      <c r="D47" s="362">
        <f>SUM('- 25 -'!B47,'- 25 -'!E47,'- 25 -'!H47,'- 26 -'!B47)</f>
        <v>575374</v>
      </c>
      <c r="E47" s="278">
        <f>D47/'- 3 -'!D47</f>
        <v>0.10344283895645658</v>
      </c>
      <c r="F47" s="362">
        <f>D47/'- 7 -'!F47</f>
        <v>932.8674730049613</v>
      </c>
      <c r="G47" s="362">
        <f>SUM('- 27 -'!B47,'- 27 -'!E47,'- 27 -'!H47,'- 28 -'!B47,'- 28 -'!E47,'- 28 -'!H47,'- 29 -'!B47)</f>
        <v>581642</v>
      </c>
      <c r="H47" s="278">
        <f>G47/'- 3 -'!D47</f>
        <v>0.1045697228868724</v>
      </c>
      <c r="I47" s="362">
        <f>G47/'- 7 -'!F47</f>
        <v>943.0299296345537</v>
      </c>
    </row>
    <row r="48" spans="1:9" ht="4.5" customHeight="1">
      <c r="A48" s="389"/>
      <c r="B48" s="322"/>
      <c r="C48" s="162"/>
      <c r="D48" s="322"/>
      <c r="E48" s="162"/>
      <c r="F48" s="322"/>
      <c r="G48" s="322"/>
      <c r="H48" s="162"/>
      <c r="I48" s="322"/>
    </row>
    <row r="49" spans="1:9" ht="13.5" customHeight="1">
      <c r="A49" s="383" t="s">
        <v>362</v>
      </c>
      <c r="B49" s="363">
        <f>SUM(B11:B47)</f>
        <v>9402817.52</v>
      </c>
      <c r="C49" s="81">
        <f>B49/'- 3 -'!D49</f>
        <v>0.006977984025937763</v>
      </c>
      <c r="D49" s="363">
        <f>SUM(D11:D47)</f>
        <v>48883258.24</v>
      </c>
      <c r="E49" s="81">
        <f>D49/'- 3 -'!D49</f>
        <v>0.0362770621049456</v>
      </c>
      <c r="F49" s="363">
        <f>D49/'- 7 -'!F49</f>
        <v>272.85527326604586</v>
      </c>
      <c r="G49" s="363">
        <f>SUM(G11:G47)</f>
        <v>67602617.37</v>
      </c>
      <c r="H49" s="81">
        <f>G49/'- 3 -'!D49</f>
        <v>0.050169003398828356</v>
      </c>
      <c r="I49" s="363">
        <f>G49/'- 7 -'!F49</f>
        <v>377.34249516325383</v>
      </c>
    </row>
    <row r="50" spans="1:9" ht="4.5" customHeight="1">
      <c r="A50" s="389" t="s">
        <v>15</v>
      </c>
      <c r="B50" s="322"/>
      <c r="C50" s="162"/>
      <c r="D50" s="322"/>
      <c r="E50" s="162"/>
      <c r="F50" s="9"/>
      <c r="G50" s="322"/>
      <c r="H50" s="162"/>
      <c r="I50" s="322"/>
    </row>
    <row r="51" spans="1:9" ht="13.5" customHeight="1">
      <c r="A51" s="388" t="s">
        <v>363</v>
      </c>
      <c r="B51" s="361">
        <f>SUM('- 24 -'!H51,'- 24 -'!F51,'- 24 -'!D51,'- 24 -'!B51)</f>
        <v>491</v>
      </c>
      <c r="C51" s="279">
        <f>B51/'- 3 -'!D51</f>
        <v>0.0003886387669940414</v>
      </c>
      <c r="D51" s="361">
        <f>SUM('- 25 -'!B51,'- 25 -'!E51,'- 25 -'!H51,'- 26 -'!B51)</f>
        <v>43010</v>
      </c>
      <c r="E51" s="279">
        <f>D51/'- 3 -'!D51</f>
        <v>0.03404348954870411</v>
      </c>
      <c r="F51" s="8">
        <f>D51/'- 7 -'!F51</f>
        <v>281.1111111111111</v>
      </c>
      <c r="G51" s="361">
        <f>SUM('- 27 -'!B51,'- 27 -'!E51,'- 27 -'!H51,'- 28 -'!B51,'- 28 -'!E51,'- 28 -'!H51,'- 29 -'!B51)</f>
        <v>31191</v>
      </c>
      <c r="H51" s="279">
        <f>G51/'- 3 -'!D51</f>
        <v>0.024688455766417813</v>
      </c>
      <c r="I51" s="361">
        <f>G51/'- 7 -'!F51</f>
        <v>203.86274509803923</v>
      </c>
    </row>
    <row r="52" spans="1:9" ht="13.5" customHeight="1">
      <c r="A52" s="387" t="s">
        <v>364</v>
      </c>
      <c r="B52" s="362">
        <f>SUM('- 24 -'!H52,'- 24 -'!F52,'- 24 -'!D52,'- 24 -'!B52)</f>
        <v>908</v>
      </c>
      <c r="C52" s="278">
        <f>B52/'- 3 -'!D52</f>
        <v>0.0003807831972285022</v>
      </c>
      <c r="D52" s="362">
        <f>SUM('- 25 -'!B52,'- 25 -'!E52,'- 25 -'!H52,'- 26 -'!B52)</f>
        <v>160087</v>
      </c>
      <c r="E52" s="278">
        <f>D52/'- 3 -'!D52</f>
        <v>0.06713484547876568</v>
      </c>
      <c r="F52" s="7">
        <f>D52/'- 7 -'!F52</f>
        <v>586.3992673992674</v>
      </c>
      <c r="G52" s="362">
        <f>SUM('- 27 -'!B52,'- 27 -'!E52,'- 27 -'!H52,'- 28 -'!B52,'- 28 -'!E52,'- 28 -'!H52,'- 29 -'!B52)</f>
        <v>121936</v>
      </c>
      <c r="H52" s="278">
        <f>G52/'- 3 -'!D52</f>
        <v>0.05113566072384873</v>
      </c>
      <c r="I52" s="362">
        <f>G52/'- 7 -'!F52</f>
        <v>446.65201465201466</v>
      </c>
    </row>
    <row r="53" ht="49.5" customHeight="1"/>
    <row r="54" spans="1:9" ht="12" customHeight="1">
      <c r="A54" s="3"/>
      <c r="B54" s="9"/>
      <c r="C54" s="9"/>
      <c r="D54" s="9"/>
      <c r="E54" s="63"/>
      <c r="F54" s="9"/>
      <c r="G54" s="9"/>
      <c r="H54" s="9"/>
      <c r="I54" s="9"/>
    </row>
    <row r="55" spans="1:8" ht="12" customHeight="1">
      <c r="A55" s="3"/>
      <c r="B55" s="124"/>
      <c r="C55" s="124"/>
      <c r="D55" s="124"/>
      <c r="E55" s="124"/>
      <c r="F55" s="124"/>
      <c r="G55" s="124"/>
      <c r="H55" s="124"/>
    </row>
    <row r="56" spans="1:9" ht="12" customHeight="1">
      <c r="A56" s="3"/>
      <c r="B56" s="9"/>
      <c r="C56" s="9"/>
      <c r="D56" s="9"/>
      <c r="E56" s="9"/>
      <c r="F56" s="9"/>
      <c r="G56" s="9"/>
      <c r="H56" s="9"/>
      <c r="I56" s="9"/>
    </row>
    <row r="57" spans="1:9" ht="12" customHeight="1">
      <c r="A57" s="3"/>
      <c r="B57" s="9"/>
      <c r="C57" s="9"/>
      <c r="D57" s="9"/>
      <c r="E57" s="9"/>
      <c r="F57" s="9"/>
      <c r="G57" s="9"/>
      <c r="H57" s="9"/>
      <c r="I57" s="9"/>
    </row>
    <row r="58" spans="1:9" ht="12" customHeight="1">
      <c r="A58" s="3"/>
      <c r="B58" s="9"/>
      <c r="C58" s="9"/>
      <c r="D58" s="9"/>
      <c r="E58" s="9"/>
      <c r="F58" s="9"/>
      <c r="G58" s="9"/>
      <c r="H58" s="9"/>
      <c r="I58" s="9"/>
    </row>
    <row r="59" spans="2:9" ht="12" customHeight="1">
      <c r="B59" s="9"/>
      <c r="C59" s="9"/>
      <c r="D59" s="9"/>
      <c r="E59" s="9"/>
      <c r="F59" s="9"/>
      <c r="G59" s="9"/>
      <c r="H59" s="9"/>
      <c r="I59" s="9"/>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9"/>
  <sheetViews>
    <sheetView showGridLines="0" showZeros="0" workbookViewId="0" topLeftCell="A1">
      <selection activeCell="A1" sqref="A1"/>
    </sheetView>
  </sheetViews>
  <sheetFormatPr defaultColWidth="15.83203125" defaultRowHeight="12"/>
  <cols>
    <col min="1" max="1" width="33.83203125" style="67" customWidth="1"/>
    <col min="2" max="2" width="15.83203125" style="67" customWidth="1"/>
    <col min="3" max="3" width="7.83203125" style="67" customWidth="1"/>
    <col min="4" max="4" width="9.83203125" style="67" customWidth="1"/>
    <col min="5" max="5" width="15.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10" ht="6.75" customHeight="1">
      <c r="A1" s="12"/>
      <c r="B1" s="43"/>
      <c r="C1" s="43"/>
      <c r="D1" s="43"/>
      <c r="E1" s="43"/>
      <c r="F1" s="43"/>
      <c r="G1" s="43"/>
      <c r="H1" s="43"/>
      <c r="I1" s="43"/>
      <c r="J1" s="43"/>
    </row>
    <row r="2" spans="1:10" ht="15.75" customHeight="1">
      <c r="A2" s="331"/>
      <c r="B2" s="360" t="s">
        <v>13</v>
      </c>
      <c r="C2" s="44"/>
      <c r="D2" s="44"/>
      <c r="E2" s="44"/>
      <c r="F2" s="44"/>
      <c r="G2" s="44"/>
      <c r="H2" s="45"/>
      <c r="I2" s="45"/>
      <c r="J2" s="336" t="s">
        <v>17</v>
      </c>
    </row>
    <row r="3" spans="1:10" ht="15.75" customHeight="1">
      <c r="A3" s="332"/>
      <c r="B3" s="456" t="str">
        <f>OPYEAR</f>
        <v>OPERATING FUND 2002/2003 ACTUAL</v>
      </c>
      <c r="C3" s="47"/>
      <c r="D3" s="47"/>
      <c r="E3" s="47"/>
      <c r="F3" s="47"/>
      <c r="G3" s="47"/>
      <c r="H3" s="48"/>
      <c r="I3" s="48"/>
      <c r="J3" s="49"/>
    </row>
    <row r="4" spans="1:10" ht="15.75" customHeight="1">
      <c r="A4" s="9"/>
      <c r="B4" s="43"/>
      <c r="C4" s="43"/>
      <c r="D4" s="43"/>
      <c r="E4" s="43"/>
      <c r="F4" s="43"/>
      <c r="G4" s="43"/>
      <c r="H4" s="43"/>
      <c r="I4" s="43"/>
      <c r="J4" s="43"/>
    </row>
    <row r="5" spans="1:10" ht="15.75" customHeight="1">
      <c r="A5" s="9"/>
      <c r="B5" s="43"/>
      <c r="C5" s="43"/>
      <c r="D5" s="43"/>
      <c r="E5" s="43"/>
      <c r="F5" s="43"/>
      <c r="G5" s="43"/>
      <c r="H5" s="43"/>
      <c r="I5" s="43"/>
      <c r="J5" s="43"/>
    </row>
    <row r="6" spans="1:10" ht="15.75" customHeight="1">
      <c r="A6" s="9"/>
      <c r="B6" s="53" t="s">
        <v>43</v>
      </c>
      <c r="C6" s="51"/>
      <c r="D6" s="52"/>
      <c r="E6" s="53" t="s">
        <v>44</v>
      </c>
      <c r="F6" s="51"/>
      <c r="G6" s="52"/>
      <c r="H6" s="53" t="s">
        <v>15</v>
      </c>
      <c r="I6" s="51"/>
      <c r="J6" s="52"/>
    </row>
    <row r="7" spans="1:10" ht="15.75" customHeight="1">
      <c r="A7" s="9"/>
      <c r="B7" s="54" t="s">
        <v>78</v>
      </c>
      <c r="C7" s="55"/>
      <c r="D7" s="56"/>
      <c r="E7" s="54" t="s">
        <v>79</v>
      </c>
      <c r="F7" s="55"/>
      <c r="G7" s="56"/>
      <c r="H7" s="54" t="s">
        <v>80</v>
      </c>
      <c r="I7" s="55"/>
      <c r="J7" s="56"/>
    </row>
    <row r="8" spans="1:10" ht="15.75" customHeight="1">
      <c r="A8" s="313"/>
      <c r="B8" s="59"/>
      <c r="C8" s="58"/>
      <c r="D8" s="58" t="s">
        <v>87</v>
      </c>
      <c r="E8" s="59"/>
      <c r="F8" s="58"/>
      <c r="G8" s="58" t="s">
        <v>87</v>
      </c>
      <c r="H8" s="59"/>
      <c r="I8" s="58"/>
      <c r="J8" s="58" t="s">
        <v>87</v>
      </c>
    </row>
    <row r="9" spans="1:10" ht="15.75" customHeight="1">
      <c r="A9" s="314" t="s">
        <v>112</v>
      </c>
      <c r="B9" s="61" t="s">
        <v>113</v>
      </c>
      <c r="C9" s="61" t="s">
        <v>114</v>
      </c>
      <c r="D9" s="61" t="s">
        <v>115</v>
      </c>
      <c r="E9" s="61" t="s">
        <v>113</v>
      </c>
      <c r="F9" s="61" t="s">
        <v>114</v>
      </c>
      <c r="G9" s="61" t="s">
        <v>115</v>
      </c>
      <c r="H9" s="61" t="s">
        <v>113</v>
      </c>
      <c r="I9" s="61" t="s">
        <v>114</v>
      </c>
      <c r="J9" s="61" t="s">
        <v>115</v>
      </c>
    </row>
    <row r="10" spans="1:10" ht="4.5" customHeight="1">
      <c r="A10" s="62"/>
      <c r="B10" s="9"/>
      <c r="C10" s="9"/>
      <c r="D10" s="9"/>
      <c r="E10" s="9"/>
      <c r="F10" s="9"/>
      <c r="G10" s="9"/>
      <c r="H10" s="9"/>
      <c r="I10" s="9"/>
      <c r="J10" s="9"/>
    </row>
    <row r="11" spans="1:10" ht="13.5" customHeight="1">
      <c r="A11" s="387" t="s">
        <v>327</v>
      </c>
      <c r="B11" s="362">
        <f>SUM('- 31 -'!D11,'- 31 -'!B11,'- 30 -'!F11,'- 30 -'!D11,'- 30 -'!B11)</f>
        <v>802141.04</v>
      </c>
      <c r="C11" s="278">
        <f>B11/'- 3 -'!D11</f>
        <v>0.07180122587790666</v>
      </c>
      <c r="D11" s="362">
        <f>B11/'- 7 -'!F11</f>
        <v>494.3858489984592</v>
      </c>
      <c r="E11" s="362">
        <f>SUM('- 33 -'!D11,'- 33 -'!B11,'- 32 -'!F11,'- 32 -'!D11,'- 32 -'!B11)</f>
        <v>1327839</v>
      </c>
      <c r="F11" s="278">
        <f>E11/'- 3 -'!D11</f>
        <v>0.11885748666904476</v>
      </c>
      <c r="G11" s="362">
        <f>E11/'- 7 -'!F11</f>
        <v>818.3907550077041</v>
      </c>
      <c r="H11" s="362">
        <f>SUM('- 34 -'!B11,'- 34 -'!D11)</f>
        <v>192975</v>
      </c>
      <c r="I11" s="278">
        <f>H11/'- 3 -'!D11</f>
        <v>0.01727357269214032</v>
      </c>
      <c r="J11" s="362">
        <f>H11/'- 7 -'!F11</f>
        <v>118.93682588597842</v>
      </c>
    </row>
    <row r="12" spans="1:10" ht="13.5" customHeight="1">
      <c r="A12" s="388" t="s">
        <v>328</v>
      </c>
      <c r="B12" s="361">
        <f>SUM('- 31 -'!D12,'- 31 -'!B12,'- 30 -'!F12,'- 30 -'!D12,'- 30 -'!B12)</f>
        <v>1464886</v>
      </c>
      <c r="C12" s="279">
        <f>B12/'- 3 -'!D12</f>
        <v>0.07980182330577623</v>
      </c>
      <c r="D12" s="361">
        <f>B12/'- 7 -'!F12</f>
        <v>623.3822715860249</v>
      </c>
      <c r="E12" s="361">
        <f>SUM('- 33 -'!D12,'- 33 -'!B12,'- 32 -'!F12,'- 32 -'!D12,'- 32 -'!B12)</f>
        <v>2074325</v>
      </c>
      <c r="F12" s="279">
        <f>E12/'- 3 -'!D12</f>
        <v>0.1130019108167832</v>
      </c>
      <c r="G12" s="361">
        <f>E12/'- 7 -'!F12</f>
        <v>882.7290523000978</v>
      </c>
      <c r="H12" s="361">
        <f>SUM('- 34 -'!B12,'- 34 -'!D12)</f>
        <v>359956</v>
      </c>
      <c r="I12" s="279">
        <f>H12/'- 3 -'!D12</f>
        <v>0.01960913348195968</v>
      </c>
      <c r="J12" s="361">
        <f>H12/'- 7 -'!F12</f>
        <v>153.17928422486062</v>
      </c>
    </row>
    <row r="13" spans="1:10" ht="13.5" customHeight="1">
      <c r="A13" s="387" t="s">
        <v>329</v>
      </c>
      <c r="B13" s="362">
        <f>SUM('- 31 -'!D13,'- 31 -'!B13,'- 30 -'!F13,'- 30 -'!D13,'- 30 -'!B13)</f>
        <v>1232189</v>
      </c>
      <c r="C13" s="278">
        <f>B13/'- 3 -'!D13</f>
        <v>0.02648042294439745</v>
      </c>
      <c r="D13" s="362">
        <f>B13/'- 7 -'!F13</f>
        <v>168.95502536679007</v>
      </c>
      <c r="E13" s="362">
        <f>SUM('- 33 -'!D13,'- 33 -'!B13,'- 32 -'!F13,'- 32 -'!D13,'- 32 -'!B13)</f>
        <v>4651827</v>
      </c>
      <c r="F13" s="278">
        <f>E13/'- 3 -'!D13</f>
        <v>0.09997033444071288</v>
      </c>
      <c r="G13" s="362">
        <f>E13/'- 7 -'!F13</f>
        <v>637.8482106129165</v>
      </c>
      <c r="H13" s="362">
        <f>SUM('- 34 -'!B13,'- 34 -'!D13)</f>
        <v>809995</v>
      </c>
      <c r="I13" s="278">
        <f>H13/'- 3 -'!D13</f>
        <v>0.01740724043377048</v>
      </c>
      <c r="J13" s="362">
        <f>H13/'- 7 -'!F13</f>
        <v>111.06471959413136</v>
      </c>
    </row>
    <row r="14" spans="1:10" ht="13.5" customHeight="1">
      <c r="A14" s="388" t="s">
        <v>366</v>
      </c>
      <c r="B14" s="361">
        <f>SUM('- 31 -'!D14,'- 31 -'!B14,'- 30 -'!F14,'- 30 -'!D14,'- 30 -'!B14)</f>
        <v>3265472</v>
      </c>
      <c r="C14" s="279">
        <f>B14/'- 3 -'!D14</f>
        <v>0.08270948411229762</v>
      </c>
      <c r="D14" s="361">
        <f>B14/'- 7 -'!F14</f>
        <v>763.103383810058</v>
      </c>
      <c r="E14" s="361">
        <f>SUM('- 33 -'!D14,'- 33 -'!B14,'- 32 -'!F14,'- 32 -'!D14,'- 32 -'!B14)</f>
        <v>4389707</v>
      </c>
      <c r="F14" s="279">
        <f>E14/'- 3 -'!D14</f>
        <v>0.11118466223998909</v>
      </c>
      <c r="G14" s="361">
        <f>E14/'- 7 -'!F14</f>
        <v>1025.8242194802767</v>
      </c>
      <c r="H14" s="361">
        <f>SUM('- 34 -'!B14,'- 34 -'!D14)</f>
        <v>686441</v>
      </c>
      <c r="I14" s="279">
        <f>H14/'- 3 -'!D14</f>
        <v>0.017386515941196154</v>
      </c>
      <c r="J14" s="361">
        <f>H14/'- 7 -'!F14</f>
        <v>160.41339502710787</v>
      </c>
    </row>
    <row r="15" spans="1:10" ht="13.5" customHeight="1">
      <c r="A15" s="387" t="s">
        <v>330</v>
      </c>
      <c r="B15" s="362">
        <f>SUM('- 31 -'!D15,'- 31 -'!B15,'- 30 -'!F15,'- 30 -'!D15,'- 30 -'!B15)</f>
        <v>875196</v>
      </c>
      <c r="C15" s="278">
        <f>B15/'- 3 -'!D15</f>
        <v>0.06970587363873014</v>
      </c>
      <c r="D15" s="362">
        <f>B15/'- 7 -'!F15</f>
        <v>519.0960854092526</v>
      </c>
      <c r="E15" s="362">
        <f>SUM('- 33 -'!D15,'- 33 -'!B15,'- 32 -'!F15,'- 32 -'!D15,'- 32 -'!B15)</f>
        <v>1420847</v>
      </c>
      <c r="F15" s="278">
        <f>E15/'- 3 -'!D15</f>
        <v>0.11316480130390084</v>
      </c>
      <c r="G15" s="362">
        <f>E15/'- 7 -'!F15</f>
        <v>842.732502965599</v>
      </c>
      <c r="H15" s="362">
        <f>SUM('- 34 -'!B15,'- 34 -'!D15)</f>
        <v>240690</v>
      </c>
      <c r="I15" s="278">
        <f>H15/'- 3 -'!D15</f>
        <v>0.019169999321415953</v>
      </c>
      <c r="J15" s="362">
        <f>H15/'- 7 -'!F15</f>
        <v>142.75800711743773</v>
      </c>
    </row>
    <row r="16" spans="1:10" ht="13.5" customHeight="1">
      <c r="A16" s="388" t="s">
        <v>331</v>
      </c>
      <c r="B16" s="361">
        <f>SUM('- 31 -'!D16,'- 31 -'!B16,'- 30 -'!F16,'- 30 -'!D16,'- 30 -'!B16)</f>
        <v>190857</v>
      </c>
      <c r="C16" s="279">
        <f>B16/'- 3 -'!D16</f>
        <v>0.017698413404936716</v>
      </c>
      <c r="D16" s="361">
        <f>B16/'- 7 -'!F16</f>
        <v>135.44410696037244</v>
      </c>
      <c r="E16" s="361">
        <f>SUM('- 33 -'!D16,'- 33 -'!B16,'- 32 -'!F16,'- 32 -'!D16,'- 32 -'!B16)</f>
        <v>1536156</v>
      </c>
      <c r="F16" s="279">
        <f>E16/'- 3 -'!D16</f>
        <v>0.14244970811903135</v>
      </c>
      <c r="G16" s="361">
        <f>E16/'- 7 -'!F16</f>
        <v>1090.152719427728</v>
      </c>
      <c r="H16" s="361">
        <f>SUM('- 34 -'!B16,'- 34 -'!D16)</f>
        <v>205298</v>
      </c>
      <c r="I16" s="279">
        <f>H16/'- 3 -'!D16</f>
        <v>0.019037545781431638</v>
      </c>
      <c r="J16" s="361">
        <f>H16/'- 7 -'!F16</f>
        <v>145.6923469967072</v>
      </c>
    </row>
    <row r="17" spans="1:10" ht="13.5" customHeight="1">
      <c r="A17" s="387" t="s">
        <v>332</v>
      </c>
      <c r="B17" s="362">
        <f>SUM('- 31 -'!D17,'- 31 -'!B17,'- 30 -'!F17,'- 30 -'!D17,'- 30 -'!B17)</f>
        <v>1064222</v>
      </c>
      <c r="C17" s="278">
        <f>B17/'- 3 -'!D17</f>
        <v>0.08646111304560895</v>
      </c>
      <c r="D17" s="362">
        <f>B17/'- 7 -'!F17</f>
        <v>677.554944355311</v>
      </c>
      <c r="E17" s="362">
        <f>SUM('- 33 -'!D17,'- 33 -'!B17,'- 32 -'!F17,'- 32 -'!D17,'- 32 -'!B17)</f>
        <v>1476427</v>
      </c>
      <c r="F17" s="278">
        <f>E17/'- 3 -'!D17</f>
        <v>0.11995008724738758</v>
      </c>
      <c r="G17" s="362">
        <f>E17/'- 7 -'!F17</f>
        <v>939.9922326635597</v>
      </c>
      <c r="H17" s="362">
        <f>SUM('- 34 -'!B17,'- 34 -'!D17)</f>
        <v>267588</v>
      </c>
      <c r="I17" s="278">
        <f>H17/'- 3 -'!D17</f>
        <v>0.021739783915055703</v>
      </c>
      <c r="J17" s="362">
        <f>H17/'- 7 -'!F17</f>
        <v>170.36442814577126</v>
      </c>
    </row>
    <row r="18" spans="1:10" ht="13.5" customHeight="1">
      <c r="A18" s="388" t="s">
        <v>333</v>
      </c>
      <c r="B18" s="361">
        <f>SUM('- 31 -'!D18,'- 31 -'!B18,'- 30 -'!F18,'- 30 -'!D18,'- 30 -'!B18)</f>
        <v>5751591.22</v>
      </c>
      <c r="C18" s="279">
        <f>B18/'- 3 -'!D18</f>
        <v>0.07951863662982925</v>
      </c>
      <c r="D18" s="361">
        <f>B18/'- 7 -'!F18</f>
        <v>970.0777905211671</v>
      </c>
      <c r="E18" s="361">
        <f>SUM('- 33 -'!D18,'- 33 -'!B18,'- 32 -'!F18,'- 32 -'!D18,'- 32 -'!B18)</f>
        <v>12815622.049999999</v>
      </c>
      <c r="F18" s="279">
        <f>E18/'- 3 -'!D18</f>
        <v>0.17718240987564088</v>
      </c>
      <c r="G18" s="361">
        <f>E18/'- 7 -'!F18</f>
        <v>2161.514935064935</v>
      </c>
      <c r="H18" s="361">
        <f>SUM('- 34 -'!B18,'- 34 -'!D18)</f>
        <v>1148355</v>
      </c>
      <c r="I18" s="279">
        <f>H18/'- 3 -'!D18</f>
        <v>0.01587658449187346</v>
      </c>
      <c r="J18" s="361">
        <f>H18/'- 7 -'!F18</f>
        <v>193.6844324506662</v>
      </c>
    </row>
    <row r="19" spans="1:10" ht="13.5" customHeight="1">
      <c r="A19" s="387" t="s">
        <v>334</v>
      </c>
      <c r="B19" s="362">
        <f>SUM('- 31 -'!D19,'- 31 -'!B19,'- 30 -'!F19,'- 30 -'!D19,'- 30 -'!B19)</f>
        <v>685106</v>
      </c>
      <c r="C19" s="278">
        <f>B19/'- 3 -'!D19</f>
        <v>0.03874896298932368</v>
      </c>
      <c r="D19" s="362">
        <f>B19/'- 7 -'!F19</f>
        <v>234.0402418611007</v>
      </c>
      <c r="E19" s="362">
        <f>SUM('- 33 -'!D19,'- 33 -'!B19,'- 32 -'!F19,'- 32 -'!D19,'- 32 -'!B19)</f>
        <v>1597308</v>
      </c>
      <c r="F19" s="278">
        <f>E19/'- 3 -'!D19</f>
        <v>0.0903422661231264</v>
      </c>
      <c r="G19" s="362">
        <f>E19/'- 7 -'!F19</f>
        <v>545.6591398216788</v>
      </c>
      <c r="H19" s="362">
        <f>SUM('- 34 -'!B19,'- 34 -'!D19)</f>
        <v>327872</v>
      </c>
      <c r="I19" s="278">
        <f>H19/'- 3 -'!D19</f>
        <v>0.018544137685607094</v>
      </c>
      <c r="J19" s="362">
        <f>H19/'- 7 -'!F19</f>
        <v>112.00491920882726</v>
      </c>
    </row>
    <row r="20" spans="1:10" ht="13.5" customHeight="1">
      <c r="A20" s="388" t="s">
        <v>335</v>
      </c>
      <c r="B20" s="361">
        <f>SUM('- 31 -'!D20,'- 31 -'!B20,'- 30 -'!F20,'- 30 -'!D20,'- 30 -'!B20)</f>
        <v>1781161</v>
      </c>
      <c r="C20" s="279">
        <f>B20/'- 3 -'!D20</f>
        <v>0.05326823890963401</v>
      </c>
      <c r="D20" s="361">
        <f>B20/'- 7 -'!F20</f>
        <v>290.991831400098</v>
      </c>
      <c r="E20" s="361">
        <f>SUM('- 33 -'!D20,'- 33 -'!B20,'- 32 -'!F20,'- 32 -'!D20,'- 32 -'!B20)</f>
        <v>3736033</v>
      </c>
      <c r="F20" s="279">
        <f>E20/'- 3 -'!D20</f>
        <v>0.11173156071701361</v>
      </c>
      <c r="G20" s="361">
        <f>E20/'- 7 -'!F20</f>
        <v>610.3631759516419</v>
      </c>
      <c r="H20" s="361">
        <f>SUM('- 34 -'!B20,'- 34 -'!D20)</f>
        <v>623161</v>
      </c>
      <c r="I20" s="279">
        <f>H20/'- 3 -'!D20</f>
        <v>0.01863654606583371</v>
      </c>
      <c r="J20" s="361">
        <f>H20/'- 7 -'!F20</f>
        <v>101.8070576703153</v>
      </c>
    </row>
    <row r="21" spans="1:10" ht="13.5" customHeight="1">
      <c r="A21" s="387" t="s">
        <v>336</v>
      </c>
      <c r="B21" s="362">
        <f>SUM('- 31 -'!D21,'- 31 -'!B21,'- 30 -'!F21,'- 30 -'!D21,'- 30 -'!B21)</f>
        <v>1637920</v>
      </c>
      <c r="C21" s="278">
        <f>B21/'- 3 -'!D21</f>
        <v>0.07040767173325761</v>
      </c>
      <c r="D21" s="362">
        <f>B21/'- 7 -'!F21</f>
        <v>494.9295944884269</v>
      </c>
      <c r="E21" s="362">
        <f>SUM('- 33 -'!D21,'- 33 -'!B21,'- 32 -'!F21,'- 32 -'!D21,'- 32 -'!B21)</f>
        <v>2874326</v>
      </c>
      <c r="F21" s="278">
        <f>E21/'- 3 -'!D21</f>
        <v>0.12355585221644977</v>
      </c>
      <c r="G21" s="362">
        <f>E21/'- 7 -'!F21</f>
        <v>868.5338732096452</v>
      </c>
      <c r="H21" s="362">
        <f>SUM('- 34 -'!B21,'- 34 -'!D21)</f>
        <v>430251</v>
      </c>
      <c r="I21" s="278">
        <f>H21/'- 3 -'!D21</f>
        <v>0.01849478067970708</v>
      </c>
      <c r="J21" s="362">
        <f>H21/'- 7 -'!F21</f>
        <v>130.00876291774944</v>
      </c>
    </row>
    <row r="22" spans="1:10" ht="13.5" customHeight="1">
      <c r="A22" s="388" t="s">
        <v>337</v>
      </c>
      <c r="B22" s="361">
        <f>SUM('- 31 -'!D22,'- 31 -'!B22,'- 30 -'!F22,'- 30 -'!D22,'- 30 -'!B22)</f>
        <v>375910</v>
      </c>
      <c r="C22" s="279">
        <f>B22/'- 3 -'!D22</f>
        <v>0.029361947256910204</v>
      </c>
      <c r="D22" s="361">
        <f>B22/'- 7 -'!F22</f>
        <v>222.4319526627219</v>
      </c>
      <c r="E22" s="361">
        <f>SUM('- 33 -'!D22,'- 33 -'!B22,'- 32 -'!F22,'- 32 -'!D22,'- 32 -'!B22)</f>
        <v>1530691</v>
      </c>
      <c r="F22" s="279">
        <f>E22/'- 3 -'!D22</f>
        <v>0.11956071508772614</v>
      </c>
      <c r="G22" s="361">
        <f>E22/'- 7 -'!F22</f>
        <v>905.7343195266272</v>
      </c>
      <c r="H22" s="361">
        <f>SUM('- 34 -'!B22,'- 34 -'!D22)</f>
        <v>231583</v>
      </c>
      <c r="I22" s="279">
        <f>H22/'- 3 -'!D22</f>
        <v>0.018088712275802814</v>
      </c>
      <c r="J22" s="361">
        <f>H22/'- 7 -'!F22</f>
        <v>137.03136094674556</v>
      </c>
    </row>
    <row r="23" spans="1:10" ht="13.5" customHeight="1">
      <c r="A23" s="387" t="s">
        <v>338</v>
      </c>
      <c r="B23" s="362">
        <f>SUM('- 31 -'!D23,'- 31 -'!B23,'- 30 -'!F23,'- 30 -'!D23,'- 30 -'!B23)</f>
        <v>1152298</v>
      </c>
      <c r="C23" s="278">
        <f>B23/'- 3 -'!D23</f>
        <v>0.10764300275829251</v>
      </c>
      <c r="D23" s="362">
        <f>B23/'- 7 -'!F23</f>
        <v>840.4186419663044</v>
      </c>
      <c r="E23" s="362">
        <f>SUM('- 33 -'!D23,'- 33 -'!B23,'- 32 -'!F23,'- 32 -'!D23,'- 32 -'!B23)</f>
        <v>1010159</v>
      </c>
      <c r="F23" s="278">
        <f>E23/'- 3 -'!D23</f>
        <v>0.09436495422478734</v>
      </c>
      <c r="G23" s="362">
        <f>E23/'- 7 -'!F23</f>
        <v>736.7507840420101</v>
      </c>
      <c r="H23" s="362">
        <f>SUM('- 34 -'!B23,'- 34 -'!D23)</f>
        <v>192263</v>
      </c>
      <c r="I23" s="278">
        <f>H23/'- 3 -'!D23</f>
        <v>0.017960429193939063</v>
      </c>
      <c r="J23" s="362">
        <f>H23/'- 7 -'!F23</f>
        <v>140.2253664940559</v>
      </c>
    </row>
    <row r="24" spans="1:10" ht="13.5" customHeight="1">
      <c r="A24" s="388" t="s">
        <v>339</v>
      </c>
      <c r="B24" s="361">
        <f>SUM('- 31 -'!D24,'- 31 -'!B24,'- 30 -'!F24,'- 30 -'!D24,'- 30 -'!B24)</f>
        <v>1701976</v>
      </c>
      <c r="C24" s="279">
        <f>B24/'- 3 -'!D24</f>
        <v>0.05104492196694582</v>
      </c>
      <c r="D24" s="361">
        <f>B24/'- 7 -'!F24</f>
        <v>369.05609645033286</v>
      </c>
      <c r="E24" s="361">
        <f>SUM('- 33 -'!D24,'- 33 -'!B24,'- 32 -'!F24,'- 32 -'!D24,'- 32 -'!B24)</f>
        <v>3668421</v>
      </c>
      <c r="F24" s="279">
        <f>E24/'- 3 -'!D24</f>
        <v>0.11002168284799865</v>
      </c>
      <c r="G24" s="361">
        <f>E24/'- 7 -'!F24</f>
        <v>795.4595919075396</v>
      </c>
      <c r="H24" s="361">
        <f>SUM('- 34 -'!B24,'- 34 -'!D24)</f>
        <v>646091</v>
      </c>
      <c r="I24" s="279">
        <f>H24/'- 3 -'!D24</f>
        <v>0.01937727951425049</v>
      </c>
      <c r="J24" s="361">
        <f>H24/'- 7 -'!F24</f>
        <v>140.09822841902118</v>
      </c>
    </row>
    <row r="25" spans="1:10" ht="13.5" customHeight="1">
      <c r="A25" s="387" t="s">
        <v>340</v>
      </c>
      <c r="B25" s="362">
        <f>SUM('- 31 -'!D25,'- 31 -'!B25,'- 30 -'!F25,'- 30 -'!D25,'- 30 -'!B25)</f>
        <v>1544144</v>
      </c>
      <c r="C25" s="278">
        <f>B25/'- 3 -'!D25</f>
        <v>0.01492261571957724</v>
      </c>
      <c r="D25" s="362">
        <f>B25/'- 7 -'!F25</f>
        <v>103.7089971254332</v>
      </c>
      <c r="E25" s="362">
        <f>SUM('- 33 -'!D25,'- 33 -'!B25,'- 32 -'!F25,'- 32 -'!D25,'- 32 -'!B25)</f>
        <v>12216073</v>
      </c>
      <c r="F25" s="278">
        <f>E25/'- 3 -'!D25</f>
        <v>0.11805619358123537</v>
      </c>
      <c r="G25" s="362">
        <f>E25/'- 7 -'!F25</f>
        <v>820.4653708728474</v>
      </c>
      <c r="H25" s="362">
        <f>SUM('- 34 -'!B25,'- 34 -'!D25)</f>
        <v>1824870</v>
      </c>
      <c r="I25" s="278">
        <f>H25/'- 3 -'!D25</f>
        <v>0.01763555325681084</v>
      </c>
      <c r="J25" s="362">
        <f>H25/'- 7 -'!F25</f>
        <v>122.5633344974881</v>
      </c>
    </row>
    <row r="26" spans="1:10" ht="13.5" customHeight="1">
      <c r="A26" s="388" t="s">
        <v>341</v>
      </c>
      <c r="B26" s="361">
        <f>SUM('- 31 -'!D26,'- 31 -'!B26,'- 30 -'!F26,'- 30 -'!D26,'- 30 -'!B26)</f>
        <v>1915536.29</v>
      </c>
      <c r="C26" s="279">
        <f>B26/'- 3 -'!D26</f>
        <v>0.07419855722118511</v>
      </c>
      <c r="D26" s="361">
        <f>B26/'- 7 -'!F26</f>
        <v>571.8018776119403</v>
      </c>
      <c r="E26" s="361">
        <f>SUM('- 33 -'!D26,'- 33 -'!B26,'- 32 -'!F26,'- 32 -'!D26,'- 32 -'!B26)</f>
        <v>3274237.18</v>
      </c>
      <c r="F26" s="279">
        <f>E26/'- 3 -'!D26</f>
        <v>0.12682801992540782</v>
      </c>
      <c r="G26" s="361">
        <f>E26/'- 7 -'!F26</f>
        <v>977.384232835821</v>
      </c>
      <c r="H26" s="361">
        <f>SUM('- 34 -'!B26,'- 34 -'!D26)</f>
        <v>435395.57</v>
      </c>
      <c r="I26" s="279">
        <f>H26/'- 3 -'!D26</f>
        <v>0.01686510628023419</v>
      </c>
      <c r="J26" s="361">
        <f>H26/'- 7 -'!F26</f>
        <v>129.96882686567164</v>
      </c>
    </row>
    <row r="27" spans="1:10" ht="13.5" customHeight="1">
      <c r="A27" s="387" t="s">
        <v>342</v>
      </c>
      <c r="B27" s="362">
        <f>SUM('- 31 -'!D27,'- 31 -'!B27,'- 30 -'!F27,'- 30 -'!D27,'- 30 -'!B27)</f>
        <v>96785</v>
      </c>
      <c r="C27" s="278">
        <f>B27/'- 3 -'!D27</f>
        <v>0.0037673698091231734</v>
      </c>
      <c r="D27" s="362">
        <f>B27/'- 7 -'!F27</f>
        <v>29.167043365578763</v>
      </c>
      <c r="E27" s="362">
        <f>SUM('- 33 -'!D27,'- 33 -'!B27,'- 32 -'!F27,'- 32 -'!D27,'- 32 -'!B27)</f>
        <v>3390970</v>
      </c>
      <c r="F27" s="278">
        <f>E27/'- 3 -'!D27</f>
        <v>0.131993986688458</v>
      </c>
      <c r="G27" s="362">
        <f>E27/'- 7 -'!F27</f>
        <v>1021.8997679534702</v>
      </c>
      <c r="H27" s="362">
        <f>SUM('- 34 -'!B27,'- 34 -'!D27)</f>
        <v>504143</v>
      </c>
      <c r="I27" s="278">
        <f>H27/'- 3 -'!D27</f>
        <v>0.01962383755417455</v>
      </c>
      <c r="J27" s="362">
        <f>H27/'- 7 -'!F27</f>
        <v>151.9280957116596</v>
      </c>
    </row>
    <row r="28" spans="1:10" ht="13.5" customHeight="1">
      <c r="A28" s="388" t="s">
        <v>343</v>
      </c>
      <c r="B28" s="361">
        <f>SUM('- 31 -'!D28,'- 31 -'!B28,'- 30 -'!F28,'- 30 -'!D28,'- 30 -'!B28)</f>
        <v>1765571</v>
      </c>
      <c r="C28" s="279">
        <f>B28/'- 3 -'!D28</f>
        <v>0.1097110813992903</v>
      </c>
      <c r="D28" s="361">
        <f>B28/'- 7 -'!F28</f>
        <v>824.5708014197647</v>
      </c>
      <c r="E28" s="361">
        <f>SUM('- 33 -'!D28,'- 33 -'!B28,'- 32 -'!F28,'- 32 -'!D28,'- 32 -'!B28)</f>
        <v>1834798</v>
      </c>
      <c r="F28" s="279">
        <f>E28/'- 3 -'!D28</f>
        <v>0.11401278834397204</v>
      </c>
      <c r="G28" s="361">
        <f>E28/'- 7 -'!F28</f>
        <v>856.9017373435457</v>
      </c>
      <c r="H28" s="361">
        <f>SUM('- 34 -'!B28,'- 34 -'!D28)</f>
        <v>278978.55</v>
      </c>
      <c r="I28" s="279">
        <f>H28/'- 3 -'!D28</f>
        <v>0.017335489995987687</v>
      </c>
      <c r="J28" s="361">
        <f>H28/'- 7 -'!F28</f>
        <v>130.29074817859146</v>
      </c>
    </row>
    <row r="29" spans="1:10" ht="13.5" customHeight="1">
      <c r="A29" s="387" t="s">
        <v>344</v>
      </c>
      <c r="B29" s="362">
        <f>SUM('- 31 -'!D29,'- 31 -'!B29,'- 30 -'!F29,'- 30 -'!D29,'- 30 -'!B29)</f>
        <v>1366919</v>
      </c>
      <c r="C29" s="278">
        <f>B29/'- 3 -'!D29</f>
        <v>0.014005924785530406</v>
      </c>
      <c r="D29" s="362">
        <f>B29/'- 7 -'!F29</f>
        <v>104.52129164468302</v>
      </c>
      <c r="E29" s="362">
        <f>SUM('- 33 -'!D29,'- 33 -'!B29,'- 32 -'!F29,'- 32 -'!D29,'- 32 -'!B29)</f>
        <v>10673106</v>
      </c>
      <c r="F29" s="278">
        <f>E29/'- 3 -'!D29</f>
        <v>0.10936033507764051</v>
      </c>
      <c r="G29" s="362">
        <f>E29/'- 7 -'!F29</f>
        <v>816.117725322873</v>
      </c>
      <c r="H29" s="362">
        <f>SUM('- 34 -'!B29,'- 34 -'!D29)</f>
        <v>1781463</v>
      </c>
      <c r="I29" s="278">
        <f>H29/'- 3 -'!D29</f>
        <v>0.018253485968228806</v>
      </c>
      <c r="J29" s="362">
        <f>H29/'- 7 -'!F29</f>
        <v>136.21934714288992</v>
      </c>
    </row>
    <row r="30" spans="1:10" ht="13.5" customHeight="1">
      <c r="A30" s="388" t="s">
        <v>345</v>
      </c>
      <c r="B30" s="361">
        <f>SUM('- 31 -'!D30,'- 31 -'!B30,'- 30 -'!F30,'- 30 -'!D30,'- 30 -'!B30)</f>
        <v>907461</v>
      </c>
      <c r="C30" s="279">
        <f>B30/'- 3 -'!D30</f>
        <v>0.09418431734141171</v>
      </c>
      <c r="D30" s="361">
        <f>B30/'- 7 -'!F30</f>
        <v>707.5167628255107</v>
      </c>
      <c r="E30" s="361">
        <f>SUM('- 33 -'!D30,'- 33 -'!B30,'- 32 -'!F30,'- 32 -'!D30,'- 32 -'!B30)</f>
        <v>1010443</v>
      </c>
      <c r="F30" s="279">
        <f>E30/'- 3 -'!D30</f>
        <v>0.1048726988459097</v>
      </c>
      <c r="G30" s="361">
        <f>E30/'- 7 -'!F30</f>
        <v>787.8083580227664</v>
      </c>
      <c r="H30" s="361">
        <f>SUM('- 34 -'!B30,'- 34 -'!D30)</f>
        <v>156486</v>
      </c>
      <c r="I30" s="279">
        <f>H30/'- 3 -'!D30</f>
        <v>0.016241499175709096</v>
      </c>
      <c r="J30" s="361">
        <f>H30/'- 7 -'!F30</f>
        <v>122.00686106346484</v>
      </c>
    </row>
    <row r="31" spans="1:10" ht="13.5" customHeight="1">
      <c r="A31" s="387" t="s">
        <v>346</v>
      </c>
      <c r="B31" s="362">
        <f>SUM('- 31 -'!D31,'- 31 -'!B31,'- 30 -'!F31,'- 30 -'!D31,'- 30 -'!B31)</f>
        <v>747222</v>
      </c>
      <c r="C31" s="278">
        <f>B31/'- 3 -'!D31</f>
        <v>0.030629955854318183</v>
      </c>
      <c r="D31" s="362">
        <f>B31/'- 7 -'!F31</f>
        <v>222.0372626511752</v>
      </c>
      <c r="E31" s="362">
        <f>SUM('- 33 -'!D31,'- 33 -'!B31,'- 32 -'!F31,'- 32 -'!D31,'- 32 -'!B31)</f>
        <v>2937499</v>
      </c>
      <c r="F31" s="278">
        <f>E31/'- 3 -'!D31</f>
        <v>0.12041329710862878</v>
      </c>
      <c r="G31" s="362">
        <f>E31/'- 7 -'!F31</f>
        <v>872.8787923810655</v>
      </c>
      <c r="H31" s="362">
        <f>SUM('- 34 -'!B31,'- 34 -'!D31)</f>
        <v>436831</v>
      </c>
      <c r="I31" s="278">
        <f>H31/'- 3 -'!D31</f>
        <v>0.017906477921953136</v>
      </c>
      <c r="J31" s="362">
        <f>H31/'- 7 -'!F31</f>
        <v>129.80447508394496</v>
      </c>
    </row>
    <row r="32" spans="1:10" ht="13.5" customHeight="1">
      <c r="A32" s="388" t="s">
        <v>347</v>
      </c>
      <c r="B32" s="361">
        <f>SUM('- 31 -'!D32,'- 31 -'!B32,'- 30 -'!F32,'- 30 -'!D32,'- 30 -'!B32)</f>
        <v>1488393</v>
      </c>
      <c r="C32" s="279">
        <f>B32/'- 3 -'!D32</f>
        <v>0.08187913385948058</v>
      </c>
      <c r="D32" s="361">
        <f>B32/'- 7 -'!F32</f>
        <v>633.3587234042553</v>
      </c>
      <c r="E32" s="361">
        <f>SUM('- 33 -'!D32,'- 33 -'!B32,'- 32 -'!F32,'- 32 -'!D32,'- 32 -'!B32)</f>
        <v>1895210</v>
      </c>
      <c r="F32" s="279">
        <f>E32/'- 3 -'!D32</f>
        <v>0.10425885722509189</v>
      </c>
      <c r="G32" s="361">
        <f>E32/'- 7 -'!F32</f>
        <v>806.4723404255319</v>
      </c>
      <c r="H32" s="361">
        <f>SUM('- 34 -'!B32,'- 34 -'!D32)</f>
        <v>310883</v>
      </c>
      <c r="I32" s="279">
        <f>H32/'- 3 -'!D32</f>
        <v>0.017102224191888095</v>
      </c>
      <c r="J32" s="361">
        <f>H32/'- 7 -'!F32</f>
        <v>132.29063829787233</v>
      </c>
    </row>
    <row r="33" spans="1:10" ht="13.5" customHeight="1">
      <c r="A33" s="387" t="s">
        <v>348</v>
      </c>
      <c r="B33" s="362">
        <f>SUM('- 31 -'!D33,'- 31 -'!B33,'- 30 -'!F33,'- 30 -'!D33,'- 30 -'!B33)</f>
        <v>2004277</v>
      </c>
      <c r="C33" s="278">
        <f>B33/'- 3 -'!D33</f>
        <v>0.09246145192486764</v>
      </c>
      <c r="D33" s="362">
        <f>B33/'- 7 -'!F33</f>
        <v>803.9296458224701</v>
      </c>
      <c r="E33" s="362">
        <f>SUM('- 33 -'!D33,'- 33 -'!B33,'- 32 -'!F33,'- 32 -'!D33,'- 32 -'!B33)</f>
        <v>2451787</v>
      </c>
      <c r="F33" s="278">
        <f>E33/'- 3 -'!D33</f>
        <v>0.11310601570068182</v>
      </c>
      <c r="G33" s="362">
        <f>E33/'- 7 -'!F33</f>
        <v>983.4290642172397</v>
      </c>
      <c r="H33" s="362">
        <f>SUM('- 34 -'!B33,'- 34 -'!D33)</f>
        <v>353690</v>
      </c>
      <c r="I33" s="278">
        <f>H33/'- 3 -'!D33</f>
        <v>0.016316452731486936</v>
      </c>
      <c r="J33" s="362">
        <f>H33/'- 7 -'!F33</f>
        <v>141.8675544502828</v>
      </c>
    </row>
    <row r="34" spans="1:10" ht="13.5" customHeight="1">
      <c r="A34" s="388" t="s">
        <v>349</v>
      </c>
      <c r="B34" s="361">
        <f>SUM('- 31 -'!D34,'- 31 -'!B34,'- 30 -'!F34,'- 30 -'!D34,'- 30 -'!B34)</f>
        <v>1581977</v>
      </c>
      <c r="C34" s="279">
        <f>B34/'- 3 -'!D34</f>
        <v>0.09627264144388298</v>
      </c>
      <c r="D34" s="361">
        <f>B34/'- 7 -'!F34</f>
        <v>715.1794755877035</v>
      </c>
      <c r="E34" s="361">
        <f>SUM('- 33 -'!D34,'- 33 -'!B34,'- 32 -'!F34,'- 32 -'!D34,'- 32 -'!B34)</f>
        <v>1630835.36</v>
      </c>
      <c r="F34" s="279">
        <f>E34/'- 3 -'!D34</f>
        <v>0.09924596114057652</v>
      </c>
      <c r="G34" s="361">
        <f>E34/'- 7 -'!F34</f>
        <v>737.2673417721519</v>
      </c>
      <c r="H34" s="361">
        <f>SUM('- 34 -'!B34,'- 34 -'!D34)</f>
        <v>346303</v>
      </c>
      <c r="I34" s="279">
        <f>H34/'- 3 -'!D34</f>
        <v>0.021074582342183866</v>
      </c>
      <c r="J34" s="361">
        <f>H34/'- 7 -'!F34</f>
        <v>156.55650994575046</v>
      </c>
    </row>
    <row r="35" spans="1:10" ht="13.5" customHeight="1">
      <c r="A35" s="387" t="s">
        <v>350</v>
      </c>
      <c r="B35" s="362">
        <f>SUM('- 31 -'!D35,'- 31 -'!B35,'- 30 -'!F35,'- 30 -'!D35,'- 30 -'!B35)</f>
        <v>2211631</v>
      </c>
      <c r="C35" s="278">
        <f>B35/'- 3 -'!D35</f>
        <v>0.018072694146010693</v>
      </c>
      <c r="D35" s="362">
        <f>B35/'- 7 -'!F35</f>
        <v>124.12550441414997</v>
      </c>
      <c r="E35" s="362">
        <f>SUM('- 33 -'!D35,'- 33 -'!B35,'- 32 -'!F35,'- 32 -'!D35,'- 32 -'!B35)</f>
        <v>12868498</v>
      </c>
      <c r="F35" s="278">
        <f>E35/'- 3 -'!D35</f>
        <v>0.10515697621915696</v>
      </c>
      <c r="G35" s="362">
        <f>E35/'- 7 -'!F35</f>
        <v>722.2311521689106</v>
      </c>
      <c r="H35" s="362">
        <f>SUM('- 34 -'!B35,'- 34 -'!D35)</f>
        <v>2087312</v>
      </c>
      <c r="I35" s="278">
        <f>H35/'- 3 -'!D35</f>
        <v>0.017056801683146</v>
      </c>
      <c r="J35" s="362">
        <f>H35/'- 7 -'!F35</f>
        <v>117.14822900823339</v>
      </c>
    </row>
    <row r="36" spans="1:10" ht="13.5" customHeight="1">
      <c r="A36" s="388" t="s">
        <v>351</v>
      </c>
      <c r="B36" s="361">
        <f>SUM('- 31 -'!D36,'- 31 -'!B36,'- 30 -'!F36,'- 30 -'!D36,'- 30 -'!B36)</f>
        <v>1110923</v>
      </c>
      <c r="C36" s="279">
        <f>B36/'- 3 -'!D36</f>
        <v>0.06977399133951168</v>
      </c>
      <c r="D36" s="361">
        <f>B36/'- 7 -'!F36</f>
        <v>523.0334274952919</v>
      </c>
      <c r="E36" s="361">
        <f>SUM('- 33 -'!D36,'- 33 -'!B36,'- 32 -'!F36,'- 32 -'!D36,'- 32 -'!B36)</f>
        <v>1801560</v>
      </c>
      <c r="F36" s="279">
        <f>E36/'- 3 -'!D36</f>
        <v>0.11315098511562967</v>
      </c>
      <c r="G36" s="361">
        <f>E36/'- 7 -'!F36</f>
        <v>848.1920903954802</v>
      </c>
      <c r="H36" s="361">
        <f>SUM('- 34 -'!B36,'- 34 -'!D36)</f>
        <v>306436</v>
      </c>
      <c r="I36" s="279">
        <f>H36/'- 3 -'!D36</f>
        <v>0.01924639494376712</v>
      </c>
      <c r="J36" s="361">
        <f>H36/'- 7 -'!F36</f>
        <v>144.27306967984933</v>
      </c>
    </row>
    <row r="37" spans="1:10" ht="13.5" customHeight="1">
      <c r="A37" s="387" t="s">
        <v>352</v>
      </c>
      <c r="B37" s="362">
        <f>SUM('- 31 -'!D37,'- 31 -'!B37,'- 30 -'!F37,'- 30 -'!D37,'- 30 -'!B37)</f>
        <v>1571640</v>
      </c>
      <c r="C37" s="278">
        <f>B37/'- 3 -'!D37</f>
        <v>0.0671924468650857</v>
      </c>
      <c r="D37" s="362">
        <f>B37/'- 7 -'!F37</f>
        <v>464.96849205644804</v>
      </c>
      <c r="E37" s="362">
        <f>SUM('- 33 -'!D37,'- 33 -'!B37,'- 32 -'!F37,'- 32 -'!D37,'- 32 -'!B37)</f>
        <v>2736595</v>
      </c>
      <c r="F37" s="278">
        <f>E37/'- 3 -'!D37</f>
        <v>0.11699785837008424</v>
      </c>
      <c r="G37" s="362">
        <f>E37/'- 7 -'!F37</f>
        <v>809.6195378834946</v>
      </c>
      <c r="H37" s="362">
        <f>SUM('- 34 -'!B37,'- 34 -'!D37)</f>
        <v>410168</v>
      </c>
      <c r="I37" s="278">
        <f>H37/'- 3 -'!D37</f>
        <v>0.017535944329336535</v>
      </c>
      <c r="J37" s="362">
        <f>H37/'- 7 -'!F37</f>
        <v>121.34788911570664</v>
      </c>
    </row>
    <row r="38" spans="1:10" ht="13.5" customHeight="1">
      <c r="A38" s="388" t="s">
        <v>353</v>
      </c>
      <c r="B38" s="361">
        <f>SUM('- 31 -'!D38,'- 31 -'!B38,'- 30 -'!F38,'- 30 -'!D38,'- 30 -'!B38)</f>
        <v>1870515</v>
      </c>
      <c r="C38" s="279">
        <f>B38/'- 3 -'!D38</f>
        <v>0.030394828152283445</v>
      </c>
      <c r="D38" s="361">
        <f>B38/'- 7 -'!F38</f>
        <v>219.45386284976829</v>
      </c>
      <c r="E38" s="361">
        <f>SUM('- 33 -'!D38,'- 33 -'!B38,'- 32 -'!F38,'- 32 -'!D38,'- 32 -'!B38)</f>
        <v>7323503</v>
      </c>
      <c r="F38" s="279">
        <f>E38/'- 3 -'!D38</f>
        <v>0.1190028495669547</v>
      </c>
      <c r="G38" s="361">
        <f>E38/'- 7 -'!F38</f>
        <v>859.2131166774212</v>
      </c>
      <c r="H38" s="361">
        <f>SUM('- 34 -'!B38,'- 34 -'!D38)</f>
        <v>1148552</v>
      </c>
      <c r="I38" s="279">
        <f>H38/'- 3 -'!D38</f>
        <v>0.018663331041965155</v>
      </c>
      <c r="J38" s="361">
        <f>H38/'- 7 -'!F38</f>
        <v>134.75121722297177</v>
      </c>
    </row>
    <row r="39" spans="1:10" ht="13.5" customHeight="1">
      <c r="A39" s="387" t="s">
        <v>354</v>
      </c>
      <c r="B39" s="362">
        <f>SUM('- 31 -'!D39,'- 31 -'!B39,'- 30 -'!F39,'- 30 -'!D39,'- 30 -'!B39)</f>
        <v>1313147</v>
      </c>
      <c r="C39" s="278">
        <f>B39/'- 3 -'!D39</f>
        <v>0.0894434928951472</v>
      </c>
      <c r="D39" s="362">
        <f>B39/'- 7 -'!F39</f>
        <v>725.8966279712548</v>
      </c>
      <c r="E39" s="362">
        <f>SUM('- 33 -'!D39,'- 33 -'!B39,'- 32 -'!F39,'- 32 -'!D39,'- 32 -'!B39)</f>
        <v>1636253</v>
      </c>
      <c r="F39" s="278">
        <f>E39/'- 3 -'!D39</f>
        <v>0.11145148530984217</v>
      </c>
      <c r="G39" s="362">
        <f>E39/'- 7 -'!F39</f>
        <v>904.5069098949696</v>
      </c>
      <c r="H39" s="362">
        <f>SUM('- 34 -'!B39,'- 34 -'!D39)</f>
        <v>278338</v>
      </c>
      <c r="I39" s="278">
        <f>H39/'- 3 -'!D39</f>
        <v>0.018958671744632918</v>
      </c>
      <c r="J39" s="362">
        <f>H39/'- 7 -'!F39</f>
        <v>153.8629076838032</v>
      </c>
    </row>
    <row r="40" spans="1:10" ht="13.5" customHeight="1">
      <c r="A40" s="388" t="s">
        <v>355</v>
      </c>
      <c r="B40" s="361">
        <f>SUM('- 31 -'!D40,'- 31 -'!B40,'- 30 -'!F40,'- 30 -'!D40,'- 30 -'!B40)</f>
        <v>981040</v>
      </c>
      <c r="C40" s="279">
        <f>B40/'- 3 -'!D40</f>
        <v>0.015805085392232313</v>
      </c>
      <c r="D40" s="361">
        <f>B40/'- 7 -'!F40</f>
        <v>107.57784271905346</v>
      </c>
      <c r="E40" s="361">
        <f>SUM('- 33 -'!D40,'- 33 -'!B40,'- 32 -'!F40,'- 32 -'!D40,'- 32 -'!B40)</f>
        <v>7143563</v>
      </c>
      <c r="F40" s="279">
        <f>E40/'- 3 -'!D40</f>
        <v>0.11508666641502001</v>
      </c>
      <c r="G40" s="361">
        <f>E40/'- 7 -'!F40</f>
        <v>783.3412469090451</v>
      </c>
      <c r="H40" s="361">
        <f>SUM('- 34 -'!B40,'- 34 -'!D40)</f>
        <v>1044111</v>
      </c>
      <c r="I40" s="279">
        <f>H40/'- 3 -'!D40</f>
        <v>0.016821193339689587</v>
      </c>
      <c r="J40" s="361">
        <f>H40/'- 7 -'!F40</f>
        <v>114.49401547259401</v>
      </c>
    </row>
    <row r="41" spans="1:10" ht="13.5" customHeight="1">
      <c r="A41" s="387" t="s">
        <v>356</v>
      </c>
      <c r="B41" s="362">
        <f>SUM('- 31 -'!D41,'- 31 -'!B41,'- 30 -'!F41,'- 30 -'!D41,'- 30 -'!B41)</f>
        <v>2981089</v>
      </c>
      <c r="C41" s="278">
        <f>B41/'- 3 -'!D41</f>
        <v>0.07937200275464014</v>
      </c>
      <c r="D41" s="362">
        <f>B41/'- 7 -'!F41</f>
        <v>606.4300825908296</v>
      </c>
      <c r="E41" s="362">
        <f>SUM('- 33 -'!D41,'- 33 -'!B41,'- 32 -'!F41,'- 32 -'!D41,'- 32 -'!B41)</f>
        <v>3347477</v>
      </c>
      <c r="F41" s="278">
        <f>E41/'- 3 -'!D41</f>
        <v>0.08912714570584591</v>
      </c>
      <c r="G41" s="362">
        <f>E41/'- 7 -'!F41</f>
        <v>680.9628137841246</v>
      </c>
      <c r="H41" s="362">
        <f>SUM('- 34 -'!B41,'- 34 -'!D41)</f>
        <v>655118</v>
      </c>
      <c r="I41" s="278">
        <f>H41/'- 3 -'!D41</f>
        <v>0.01744262841552679</v>
      </c>
      <c r="J41" s="362">
        <f>H41/'- 7 -'!F41</f>
        <v>133.26783026160544</v>
      </c>
    </row>
    <row r="42" spans="1:10" ht="13.5" customHeight="1">
      <c r="A42" s="388" t="s">
        <v>357</v>
      </c>
      <c r="B42" s="361">
        <f>SUM('- 31 -'!D42,'- 31 -'!B42,'- 30 -'!F42,'- 30 -'!D42,'- 30 -'!B42)</f>
        <v>1142474</v>
      </c>
      <c r="C42" s="279">
        <f>B42/'- 3 -'!D42</f>
        <v>0.07857429356491807</v>
      </c>
      <c r="D42" s="361">
        <f>B42/'- 7 -'!F42</f>
        <v>607.6019784077009</v>
      </c>
      <c r="E42" s="361">
        <f>SUM('- 33 -'!D42,'- 33 -'!B42,'- 32 -'!F42,'- 32 -'!D42,'- 32 -'!B42)</f>
        <v>1692560</v>
      </c>
      <c r="F42" s="279">
        <f>E42/'- 3 -'!D42</f>
        <v>0.11640676839581272</v>
      </c>
      <c r="G42" s="361">
        <f>E42/'- 7 -'!F42</f>
        <v>900.1542307078657</v>
      </c>
      <c r="H42" s="361">
        <f>SUM('- 34 -'!B42,'- 34 -'!D42)</f>
        <v>228782</v>
      </c>
      <c r="I42" s="279">
        <f>H42/'- 3 -'!D42</f>
        <v>0.015734611054929116</v>
      </c>
      <c r="J42" s="361">
        <f>H42/'- 7 -'!F42</f>
        <v>121.67313726533</v>
      </c>
    </row>
    <row r="43" spans="1:10" ht="13.5" customHeight="1">
      <c r="A43" s="387" t="s">
        <v>358</v>
      </c>
      <c r="B43" s="362">
        <f>SUM('- 31 -'!D43,'- 31 -'!B43,'- 30 -'!F43,'- 30 -'!D43,'- 30 -'!B43)</f>
        <v>762585</v>
      </c>
      <c r="C43" s="278">
        <f>B43/'- 3 -'!D43</f>
        <v>0.08366676537330253</v>
      </c>
      <c r="D43" s="362">
        <f>B43/'- 7 -'!F43</f>
        <v>625.5824446267433</v>
      </c>
      <c r="E43" s="362">
        <f>SUM('- 33 -'!D43,'- 33 -'!B43,'- 32 -'!F43,'- 32 -'!D43,'- 32 -'!B43)</f>
        <v>876657</v>
      </c>
      <c r="F43" s="278">
        <f>E43/'- 3 -'!D43</f>
        <v>0.09618213777069216</v>
      </c>
      <c r="G43" s="362">
        <f>E43/'- 7 -'!F43</f>
        <v>719.160787530763</v>
      </c>
      <c r="H43" s="362">
        <f>SUM('- 34 -'!B43,'- 34 -'!D43)</f>
        <v>163859</v>
      </c>
      <c r="I43" s="278">
        <f>H43/'- 3 -'!D43</f>
        <v>0.017977736917594734</v>
      </c>
      <c r="J43" s="362">
        <f>H43/'- 7 -'!F43</f>
        <v>134.42083675143562</v>
      </c>
    </row>
    <row r="44" spans="1:10" ht="13.5" customHeight="1">
      <c r="A44" s="388" t="s">
        <v>359</v>
      </c>
      <c r="B44" s="361">
        <f>SUM('- 31 -'!D44,'- 31 -'!B44,'- 30 -'!F44,'- 30 -'!D44,'- 30 -'!B44)</f>
        <v>787405</v>
      </c>
      <c r="C44" s="279">
        <f>B44/'- 3 -'!D44</f>
        <v>0.12030107982046354</v>
      </c>
      <c r="D44" s="361">
        <f>B44/'- 7 -'!F44</f>
        <v>962.0097739767868</v>
      </c>
      <c r="E44" s="361">
        <f>SUM('- 33 -'!D44,'- 33 -'!B44,'- 32 -'!F44,'- 32 -'!D44,'- 32 -'!B44)</f>
        <v>759018</v>
      </c>
      <c r="F44" s="279">
        <f>E44/'- 3 -'!D44</f>
        <v>0.11596406551033914</v>
      </c>
      <c r="G44" s="361">
        <f>E44/'- 7 -'!F44</f>
        <v>927.3280390959071</v>
      </c>
      <c r="H44" s="361">
        <f>SUM('- 34 -'!B44,'- 34 -'!D44)</f>
        <v>105731</v>
      </c>
      <c r="I44" s="279">
        <f>H44/'- 3 -'!D44</f>
        <v>0.01615376263866426</v>
      </c>
      <c r="J44" s="361">
        <f>H44/'- 7 -'!F44</f>
        <v>129.17654245571165</v>
      </c>
    </row>
    <row r="45" spans="1:10" ht="13.5" customHeight="1">
      <c r="A45" s="387" t="s">
        <v>360</v>
      </c>
      <c r="B45" s="362">
        <f>SUM('- 31 -'!D45,'- 31 -'!B45,'- 30 -'!F45,'- 30 -'!D45,'- 30 -'!B45)</f>
        <v>372659</v>
      </c>
      <c r="C45" s="278">
        <f>B45/'- 3 -'!D45</f>
        <v>0.03768495671871208</v>
      </c>
      <c r="D45" s="362">
        <f>B45/'- 7 -'!F45</f>
        <v>255.5960219478738</v>
      </c>
      <c r="E45" s="362">
        <f>SUM('- 33 -'!D45,'- 33 -'!B45,'- 32 -'!F45,'- 32 -'!D45,'- 32 -'!B45)</f>
        <v>983123</v>
      </c>
      <c r="F45" s="278">
        <f>E45/'- 3 -'!D45</f>
        <v>0.09941782622765148</v>
      </c>
      <c r="G45" s="362">
        <f>E45/'- 7 -'!F45</f>
        <v>674.29561042524</v>
      </c>
      <c r="H45" s="362">
        <f>SUM('- 34 -'!B45,'- 34 -'!D45)</f>
        <v>178532</v>
      </c>
      <c r="I45" s="278">
        <f>H45/'- 3 -'!D45</f>
        <v>0.018053960035595826</v>
      </c>
      <c r="J45" s="362">
        <f>H45/'- 7 -'!F45</f>
        <v>122.44993141289437</v>
      </c>
    </row>
    <row r="46" spans="1:10" ht="13.5" customHeight="1">
      <c r="A46" s="388" t="s">
        <v>361</v>
      </c>
      <c r="B46" s="361">
        <f>SUM('- 31 -'!D46,'- 31 -'!B46,'- 30 -'!F46,'- 30 -'!D46,'- 30 -'!B46)</f>
        <v>3288165</v>
      </c>
      <c r="C46" s="279">
        <f>B46/'- 3 -'!D46</f>
        <v>0.013122817977042397</v>
      </c>
      <c r="D46" s="361">
        <f>B46/'- 7 -'!F46</f>
        <v>106.67894105051423</v>
      </c>
      <c r="E46" s="361">
        <f>SUM('- 33 -'!D46,'- 33 -'!B46,'- 32 -'!F46,'- 32 -'!D46,'- 32 -'!B46)</f>
        <v>34453016</v>
      </c>
      <c r="F46" s="279">
        <f>E46/'- 3 -'!D46</f>
        <v>0.1374993827037662</v>
      </c>
      <c r="G46" s="361">
        <f>E46/'- 7 -'!F46</f>
        <v>1117.7697174188106</v>
      </c>
      <c r="H46" s="361">
        <f>SUM('- 34 -'!B46,'- 34 -'!D46)</f>
        <v>4428144</v>
      </c>
      <c r="I46" s="279">
        <f>H46/'- 3 -'!D46</f>
        <v>0.017672388000034192</v>
      </c>
      <c r="J46" s="361">
        <f>H46/'- 7 -'!F46</f>
        <v>143.66362781040132</v>
      </c>
    </row>
    <row r="47" spans="1:10" ht="13.5" customHeight="1">
      <c r="A47" s="387" t="s">
        <v>365</v>
      </c>
      <c r="B47" s="362">
        <f>SUM('- 31 -'!D47,'- 31 -'!B47,'- 30 -'!F47,'- 30 -'!D47,'- 30 -'!B47)</f>
        <v>0</v>
      </c>
      <c r="C47" s="278">
        <f>B47/'- 3 -'!D47</f>
        <v>0</v>
      </c>
      <c r="D47" s="362">
        <f>B47/'- 7 -'!F47</f>
        <v>0</v>
      </c>
      <c r="E47" s="362">
        <f>SUM('- 33 -'!D47,'- 33 -'!B47,'- 32 -'!F47,'- 32 -'!D47,'- 32 -'!B47)</f>
        <v>592405</v>
      </c>
      <c r="F47" s="278">
        <f>E47/'- 3 -'!D47</f>
        <v>0.1065047343327986</v>
      </c>
      <c r="G47" s="362">
        <f>E47/'- 7 -'!F47</f>
        <v>960.4802360647233</v>
      </c>
      <c r="H47" s="362">
        <f>SUM('- 34 -'!B47,'- 34 -'!D47)</f>
        <v>136709</v>
      </c>
      <c r="I47" s="278">
        <f>H47/'- 3 -'!D47</f>
        <v>0.024578043274284592</v>
      </c>
      <c r="J47" s="362">
        <f>H47/'- 7 -'!F47</f>
        <v>221.64953468011285</v>
      </c>
    </row>
    <row r="48" spans="1:10" ht="4.5" customHeight="1">
      <c r="A48" s="389"/>
      <c r="B48" s="322"/>
      <c r="C48" s="162"/>
      <c r="D48" s="322"/>
      <c r="E48" s="322"/>
      <c r="F48" s="162"/>
      <c r="G48" s="322"/>
      <c r="H48" s="322"/>
      <c r="I48" s="162"/>
      <c r="J48" s="322"/>
    </row>
    <row r="49" spans="1:10" ht="13.5" customHeight="1">
      <c r="A49" s="383" t="s">
        <v>362</v>
      </c>
      <c r="B49" s="363">
        <f>SUM(B11:B47)</f>
        <v>53792483.55</v>
      </c>
      <c r="C49" s="81">
        <f>B49/'- 3 -'!D49</f>
        <v>0.03992027816439214</v>
      </c>
      <c r="D49" s="363">
        <f>B49/'- 7 -'!F49</f>
        <v>300.2574567888404</v>
      </c>
      <c r="E49" s="363">
        <f>SUM(E11:E47)</f>
        <v>161638874.58999997</v>
      </c>
      <c r="F49" s="81">
        <f>E49/'- 3 -'!D49</f>
        <v>0.11995484145688039</v>
      </c>
      <c r="G49" s="363">
        <f>E49/'- 7 -'!F49</f>
        <v>902.2315795754648</v>
      </c>
      <c r="H49" s="363">
        <f>SUM(H11:H47)</f>
        <v>23963354.12</v>
      </c>
      <c r="I49" s="81">
        <f>H49/'- 3 -'!D49</f>
        <v>0.017783595385274464</v>
      </c>
      <c r="J49" s="363">
        <f>H49/'- 7 -'!F49</f>
        <v>133.75801393355783</v>
      </c>
    </row>
    <row r="50" spans="1:10" ht="4.5" customHeight="1">
      <c r="A50" s="389" t="s">
        <v>15</v>
      </c>
      <c r="B50" s="322"/>
      <c r="C50" s="162"/>
      <c r="D50" s="322"/>
      <c r="E50" s="322"/>
      <c r="F50" s="162"/>
      <c r="G50" s="9"/>
      <c r="H50" s="322"/>
      <c r="I50" s="162"/>
      <c r="J50" s="322"/>
    </row>
    <row r="51" spans="1:10" ht="13.5" customHeight="1">
      <c r="A51" s="388" t="s">
        <v>363</v>
      </c>
      <c r="B51" s="361">
        <f>SUM('- 31 -'!D51,'- 31 -'!B51,'- 30 -'!F51,'- 30 -'!D51,'- 30 -'!B51)</f>
        <v>60163</v>
      </c>
      <c r="C51" s="279">
        <f>B51/'- 3 -'!D51</f>
        <v>0.047620517594017336</v>
      </c>
      <c r="D51" s="361">
        <f>B51/'- 7 -'!F51</f>
        <v>393.22222222222223</v>
      </c>
      <c r="E51" s="361">
        <f>SUM('- 33 -'!D51,'- 33 -'!B51,'- 32 -'!F51,'- 32 -'!D51,'- 32 -'!B51)</f>
        <v>173860</v>
      </c>
      <c r="F51" s="279">
        <f>E51/'- 3 -'!D51</f>
        <v>0.13761453366514062</v>
      </c>
      <c r="G51" s="8">
        <f>E51/'- 7 -'!F51</f>
        <v>1136.3398692810458</v>
      </c>
      <c r="H51" s="361">
        <f>SUM('- 34 -'!B51,'- 34 -'!D51)</f>
        <v>0</v>
      </c>
      <c r="I51" s="279">
        <f>H51/'- 3 -'!D51</f>
        <v>0</v>
      </c>
      <c r="J51" s="361">
        <f>H51/'- 7 -'!F51</f>
        <v>0</v>
      </c>
    </row>
    <row r="52" spans="1:10" ht="13.5" customHeight="1">
      <c r="A52" s="387" t="s">
        <v>364</v>
      </c>
      <c r="B52" s="362">
        <f>SUM('- 31 -'!D52,'- 31 -'!B52,'- 30 -'!F52,'- 30 -'!D52,'- 30 -'!B52)</f>
        <v>31342</v>
      </c>
      <c r="C52" s="278">
        <f>B52/'- 3 -'!D52</f>
        <v>0.013143730140457837</v>
      </c>
      <c r="D52" s="362">
        <f>B52/'- 7 -'!F52</f>
        <v>114.8058608058608</v>
      </c>
      <c r="E52" s="362">
        <f>SUM('- 33 -'!D52,'- 33 -'!B52,'- 32 -'!F52,'- 32 -'!D52,'- 32 -'!B52)</f>
        <v>326927</v>
      </c>
      <c r="F52" s="278">
        <f>E52/'- 3 -'!D52</f>
        <v>0.13710166114572966</v>
      </c>
      <c r="G52" s="7">
        <f>E52/'- 7 -'!F52</f>
        <v>1197.5347985347985</v>
      </c>
      <c r="H52" s="362">
        <f>SUM('- 34 -'!B52,'- 34 -'!D52)</f>
        <v>29185</v>
      </c>
      <c r="I52" s="278">
        <f>H52/'- 3 -'!D52</f>
        <v>0.012239160364662816</v>
      </c>
      <c r="J52" s="362">
        <f>H52/'- 7 -'!F52</f>
        <v>106.9047619047619</v>
      </c>
    </row>
    <row r="53" ht="49.5" customHeight="1"/>
    <row r="54" spans="1:10" ht="12" customHeight="1">
      <c r="A54" s="3"/>
      <c r="B54" s="9"/>
      <c r="C54" s="9"/>
      <c r="D54" s="9"/>
      <c r="E54" s="9"/>
      <c r="F54" s="9"/>
      <c r="G54" s="9"/>
      <c r="H54" s="9"/>
      <c r="I54" s="9"/>
      <c r="J54" s="9"/>
    </row>
    <row r="55" spans="1:10" ht="12" customHeight="1">
      <c r="A55" s="3"/>
      <c r="B55" s="124"/>
      <c r="C55" s="124"/>
      <c r="E55" s="124"/>
      <c r="F55" s="124"/>
      <c r="H55" s="124"/>
      <c r="I55" s="9"/>
      <c r="J55" s="9"/>
    </row>
    <row r="56" spans="1:10" ht="12" customHeight="1">
      <c r="A56" s="3"/>
      <c r="B56" s="9"/>
      <c r="C56" s="9"/>
      <c r="D56" s="9"/>
      <c r="E56" s="9"/>
      <c r="F56" s="9"/>
      <c r="G56" s="9"/>
      <c r="H56" s="9"/>
      <c r="I56" s="9"/>
      <c r="J56" s="9"/>
    </row>
    <row r="57" spans="1:10" ht="12" customHeight="1">
      <c r="A57" s="3"/>
      <c r="B57" s="9"/>
      <c r="C57" s="9"/>
      <c r="D57" s="9"/>
      <c r="E57" s="9"/>
      <c r="F57" s="9"/>
      <c r="G57" s="9"/>
      <c r="H57" s="9"/>
      <c r="I57" s="9"/>
      <c r="J57" s="9"/>
    </row>
    <row r="58" spans="1:10" ht="12" customHeight="1">
      <c r="A58" s="3"/>
      <c r="B58" s="9"/>
      <c r="C58" s="9"/>
      <c r="D58" s="9"/>
      <c r="E58" s="9"/>
      <c r="F58" s="9"/>
      <c r="G58" s="9"/>
      <c r="H58" s="9"/>
      <c r="I58" s="9"/>
      <c r="J58" s="9"/>
    </row>
    <row r="59" spans="2:10" ht="12" customHeight="1">
      <c r="B59" s="9"/>
      <c r="C59" s="9"/>
      <c r="D59" s="9"/>
      <c r="E59" s="9"/>
      <c r="F59" s="9"/>
      <c r="G59" s="9"/>
      <c r="H59" s="9"/>
      <c r="I59" s="9"/>
      <c r="J59" s="9"/>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7" customWidth="1"/>
    <col min="2" max="2" width="21.83203125" style="67" customWidth="1"/>
    <col min="3" max="3" width="12.83203125" style="67" customWidth="1"/>
    <col min="4" max="4" width="15.33203125" style="67" customWidth="1"/>
    <col min="5" max="5" width="20.83203125" style="67" customWidth="1"/>
    <col min="6" max="6" width="12.83203125" style="67" customWidth="1"/>
    <col min="7" max="7" width="15.33203125" style="67" customWidth="1"/>
    <col min="8" max="16384" width="15.83203125" style="67" customWidth="1"/>
  </cols>
  <sheetData>
    <row r="1" spans="1:7" ht="6.75" customHeight="1">
      <c r="A1" s="12"/>
      <c r="B1" s="13"/>
      <c r="C1" s="13"/>
      <c r="D1" s="13"/>
      <c r="E1" s="13"/>
      <c r="F1" s="13"/>
      <c r="G1" s="13"/>
    </row>
    <row r="2" spans="1:7" ht="15.75" customHeight="1">
      <c r="A2" s="331"/>
      <c r="B2" s="471" t="s">
        <v>12</v>
      </c>
      <c r="C2" s="16"/>
      <c r="D2" s="15"/>
      <c r="E2" s="15"/>
      <c r="F2" s="15"/>
      <c r="G2" s="336" t="s">
        <v>285</v>
      </c>
    </row>
    <row r="3" spans="1:7" ht="15.75" customHeight="1">
      <c r="A3" s="332"/>
      <c r="B3" s="472" t="str">
        <f>OPYEAR</f>
        <v>OPERATING FUND 2002/2003 ACTUAL</v>
      </c>
      <c r="C3" s="19"/>
      <c r="D3" s="4"/>
      <c r="E3" s="19"/>
      <c r="F3" s="19"/>
      <c r="G3" s="20"/>
    </row>
    <row r="4" spans="1:7" ht="15.75" customHeight="1">
      <c r="A4" s="9"/>
      <c r="B4" s="13"/>
      <c r="C4" s="13"/>
      <c r="D4" s="13"/>
      <c r="E4" s="13"/>
      <c r="F4" s="13"/>
      <c r="G4" s="13"/>
    </row>
    <row r="5" spans="1:7" ht="15.75" customHeight="1">
      <c r="A5" s="9"/>
      <c r="B5" s="266" t="s">
        <v>26</v>
      </c>
      <c r="C5" s="21"/>
      <c r="D5" s="22"/>
      <c r="E5" s="22"/>
      <c r="F5" s="22"/>
      <c r="G5" s="23"/>
    </row>
    <row r="6" spans="1:7" ht="15.75" customHeight="1">
      <c r="A6" s="9"/>
      <c r="B6" s="24"/>
      <c r="C6" s="25"/>
      <c r="D6" s="26"/>
      <c r="E6" s="291" t="s">
        <v>241</v>
      </c>
      <c r="F6" s="292"/>
      <c r="G6" s="293"/>
    </row>
    <row r="7" spans="1:7" ht="15.75" customHeight="1">
      <c r="A7" s="9"/>
      <c r="B7" s="29" t="s">
        <v>50</v>
      </c>
      <c r="C7" s="30"/>
      <c r="D7" s="31"/>
      <c r="E7" s="29" t="s">
        <v>322</v>
      </c>
      <c r="F7" s="30"/>
      <c r="G7" s="31"/>
    </row>
    <row r="8" spans="1:7" ht="15.75" customHeight="1">
      <c r="A8" s="313"/>
      <c r="B8" s="36"/>
      <c r="C8" s="37"/>
      <c r="D8" s="38" t="s">
        <v>87</v>
      </c>
      <c r="E8" s="78"/>
      <c r="F8" s="37"/>
      <c r="G8" s="38" t="s">
        <v>87</v>
      </c>
    </row>
    <row r="9" spans="1:7" ht="15.75" customHeight="1">
      <c r="A9" s="314" t="s">
        <v>112</v>
      </c>
      <c r="B9" s="41" t="s">
        <v>113</v>
      </c>
      <c r="C9" s="41" t="s">
        <v>114</v>
      </c>
      <c r="D9" s="41" t="s">
        <v>115</v>
      </c>
      <c r="E9" s="79" t="s">
        <v>113</v>
      </c>
      <c r="F9" s="41" t="s">
        <v>114</v>
      </c>
      <c r="G9" s="41" t="s">
        <v>115</v>
      </c>
    </row>
    <row r="10" spans="1:7" ht="4.5" customHeight="1">
      <c r="A10" s="62"/>
      <c r="B10" s="74"/>
      <c r="C10" s="74"/>
      <c r="D10" s="74"/>
      <c r="E10" s="74"/>
      <c r="F10" s="74"/>
      <c r="G10" s="74"/>
    </row>
    <row r="11" spans="1:7" ht="13.5" customHeight="1">
      <c r="A11" s="387" t="s">
        <v>327</v>
      </c>
      <c r="B11" s="362">
        <v>594721</v>
      </c>
      <c r="C11" s="278">
        <f>B11/'- 3 -'!D11</f>
        <v>0.053234649177574214</v>
      </c>
      <c r="D11" s="362">
        <f>B11/'- 7 -'!C11</f>
        <v>375.336699274219</v>
      </c>
      <c r="E11" s="362">
        <v>0</v>
      </c>
      <c r="F11" s="278">
        <f>E11/'- 3 -'!D11</f>
        <v>0</v>
      </c>
      <c r="G11" s="362">
        <f>IF('- 7 -'!B11=0,"",E11/'- 7 -'!B11)</f>
      </c>
    </row>
    <row r="12" spans="1:7" ht="13.5" customHeight="1">
      <c r="A12" s="388" t="s">
        <v>328</v>
      </c>
      <c r="B12" s="361">
        <v>1214499</v>
      </c>
      <c r="C12" s="279">
        <f>B12/'- 3 -'!D12</f>
        <v>0.06616162254471811</v>
      </c>
      <c r="D12" s="361">
        <f>B12/'- 7 -'!C12</f>
        <v>516.8300778756543</v>
      </c>
      <c r="E12" s="361">
        <v>563035</v>
      </c>
      <c r="F12" s="279">
        <f>E12/'- 3 -'!D12</f>
        <v>0.030672161236415474</v>
      </c>
      <c r="G12" s="361">
        <f>IF('- 7 -'!B12=0,"",E12/'- 7 -'!B12)</f>
        <v>7896.704067321179</v>
      </c>
    </row>
    <row r="13" spans="1:7" ht="13.5" customHeight="1">
      <c r="A13" s="387" t="s">
        <v>329</v>
      </c>
      <c r="B13" s="362">
        <v>2900351</v>
      </c>
      <c r="C13" s="278">
        <f>B13/'- 3 -'!D13</f>
        <v>0.06233014672846948</v>
      </c>
      <c r="D13" s="362">
        <f>B13/'- 7 -'!C13</f>
        <v>408.2701295045045</v>
      </c>
      <c r="E13" s="362">
        <v>1895118</v>
      </c>
      <c r="F13" s="278">
        <f>E13/'- 3 -'!D13</f>
        <v>0.04072713371856152</v>
      </c>
      <c r="G13" s="362">
        <f>IF('- 7 -'!B13=0,"",E13/'- 7 -'!B13)</f>
        <v>5749.7512135922325</v>
      </c>
    </row>
    <row r="14" spans="1:7" ht="13.5" customHeight="1">
      <c r="A14" s="388" t="s">
        <v>366</v>
      </c>
      <c r="B14" s="361">
        <v>3057309</v>
      </c>
      <c r="C14" s="279">
        <f>B14/'- 3 -'!D14</f>
        <v>0.07743702906100083</v>
      </c>
      <c r="D14" s="361">
        <f>B14/'- 7 -'!C14</f>
        <v>724.3606510768357</v>
      </c>
      <c r="E14" s="361">
        <v>0</v>
      </c>
      <c r="F14" s="279">
        <f>E14/'- 3 -'!D14</f>
        <v>0</v>
      </c>
      <c r="G14" s="361">
        <f>IF('- 7 -'!B14=0,"",E14/'- 7 -'!B14)</f>
      </c>
    </row>
    <row r="15" spans="1:7" ht="13.5" customHeight="1">
      <c r="A15" s="387" t="s">
        <v>330</v>
      </c>
      <c r="B15" s="362">
        <v>913662</v>
      </c>
      <c r="C15" s="278">
        <f>B15/'- 3 -'!D15</f>
        <v>0.07276953724709603</v>
      </c>
      <c r="D15" s="362">
        <f>B15/'- 7 -'!C15</f>
        <v>541.9110320284698</v>
      </c>
      <c r="E15" s="362">
        <v>67827</v>
      </c>
      <c r="F15" s="278">
        <f>E15/'- 3 -'!D15</f>
        <v>0.005402150251251319</v>
      </c>
      <c r="G15" s="362">
        <f>IF('- 7 -'!B15=0,"",E15/'- 7 -'!B15)</f>
        <v>5217.461538461538</v>
      </c>
    </row>
    <row r="16" spans="1:7" ht="13.5" customHeight="1">
      <c r="A16" s="388" t="s">
        <v>331</v>
      </c>
      <c r="B16" s="361">
        <v>778006</v>
      </c>
      <c r="C16" s="279">
        <f>B16/'- 3 -'!D16</f>
        <v>0.07214549018124143</v>
      </c>
      <c r="D16" s="361">
        <f>B16/'- 7 -'!C16</f>
        <v>554.4828667540909</v>
      </c>
      <c r="E16" s="361">
        <v>122248</v>
      </c>
      <c r="F16" s="279">
        <f>E16/'- 3 -'!D16</f>
        <v>0.011336213195883325</v>
      </c>
      <c r="G16" s="361">
        <f>IF('- 7 -'!B16=0,"",E16/'- 7 -'!B16)</f>
        <v>5315.130434782609</v>
      </c>
    </row>
    <row r="17" spans="1:7" ht="13.5" customHeight="1">
      <c r="A17" s="387" t="s">
        <v>332</v>
      </c>
      <c r="B17" s="362">
        <v>784905</v>
      </c>
      <c r="C17" s="278">
        <f>B17/'- 3 -'!D17</f>
        <v>0.06376842419632718</v>
      </c>
      <c r="D17" s="362">
        <f>B17/'- 7 -'!C17</f>
        <v>499.7230498892199</v>
      </c>
      <c r="E17" s="362">
        <v>125254</v>
      </c>
      <c r="F17" s="278">
        <f>E17/'- 3 -'!D17</f>
        <v>0.01017607252379175</v>
      </c>
      <c r="G17" s="362">
        <f>IF('- 7 -'!B17=0,"",E17/'- 7 -'!B17)</f>
        <v>3976.3174603174602</v>
      </c>
    </row>
    <row r="18" spans="1:7" ht="13.5" customHeight="1">
      <c r="A18" s="388" t="s">
        <v>333</v>
      </c>
      <c r="B18" s="361">
        <v>3314459</v>
      </c>
      <c r="C18" s="279">
        <f>B18/'- 3 -'!D18</f>
        <v>0.04582405994518283</v>
      </c>
      <c r="D18" s="361">
        <f>B18/'- 7 -'!C18</f>
        <v>559.4023628691983</v>
      </c>
      <c r="E18" s="361">
        <v>139948</v>
      </c>
      <c r="F18" s="279">
        <f>E18/'- 3 -'!D18</f>
        <v>0.0019348513712821448</v>
      </c>
      <c r="G18" s="361">
        <f>IF('- 7 -'!B18=0,"",E18/'- 7 -'!B18)</f>
        <v>6361.272727272727</v>
      </c>
    </row>
    <row r="19" spans="1:7" ht="13.5" customHeight="1">
      <c r="A19" s="387" t="s">
        <v>334</v>
      </c>
      <c r="B19" s="362">
        <v>1002737</v>
      </c>
      <c r="C19" s="278">
        <f>B19/'- 3 -'!D19</f>
        <v>0.056713879167640424</v>
      </c>
      <c r="D19" s="362">
        <f>B19/'- 7 -'!C19</f>
        <v>350.71770836976674</v>
      </c>
      <c r="E19" s="362">
        <v>448348</v>
      </c>
      <c r="F19" s="278">
        <f>E19/'- 3 -'!D19</f>
        <v>0.025358149043122225</v>
      </c>
      <c r="G19" s="362">
        <f>IF('- 7 -'!B19=0,"",E19/'- 7 -'!B19)</f>
        <v>5183.21387283237</v>
      </c>
    </row>
    <row r="20" spans="1:7" ht="13.5" customHeight="1">
      <c r="A20" s="388" t="s">
        <v>335</v>
      </c>
      <c r="B20" s="361">
        <v>2067073</v>
      </c>
      <c r="C20" s="279">
        <f>B20/'- 3 -'!D20</f>
        <v>0.06181885770441521</v>
      </c>
      <c r="D20" s="361">
        <f>B20/'- 7 -'!C20</f>
        <v>337.9779267495095</v>
      </c>
      <c r="E20" s="361">
        <v>1184872</v>
      </c>
      <c r="F20" s="279">
        <f>E20/'- 3 -'!D20</f>
        <v>0.03543533951918769</v>
      </c>
      <c r="G20" s="361">
        <f>IF('- 7 -'!B20=0,"",E20/'- 7 -'!B20)</f>
        <v>4101.322256836276</v>
      </c>
    </row>
    <row r="21" spans="1:7" ht="13.5" customHeight="1">
      <c r="A21" s="387" t="s">
        <v>336</v>
      </c>
      <c r="B21" s="362">
        <v>1692207</v>
      </c>
      <c r="C21" s="278">
        <f>B21/'- 3 -'!D21</f>
        <v>0.07274125412762568</v>
      </c>
      <c r="D21" s="362">
        <f>B21/'- 7 -'!C21</f>
        <v>514.4424515109139</v>
      </c>
      <c r="E21" s="362">
        <v>0</v>
      </c>
      <c r="F21" s="278">
        <f>E21/'- 3 -'!D21</f>
        <v>0</v>
      </c>
      <c r="G21" s="362">
        <f>IF('- 7 -'!B21=0,"",E21/'- 7 -'!B21)</f>
      </c>
    </row>
    <row r="22" spans="1:7" ht="13.5" customHeight="1">
      <c r="A22" s="388" t="s">
        <v>337</v>
      </c>
      <c r="B22" s="361">
        <v>739887</v>
      </c>
      <c r="C22" s="279">
        <f>B22/'- 3 -'!D22</f>
        <v>0.05779182003690649</v>
      </c>
      <c r="D22" s="361">
        <f>B22/'- 7 -'!C22</f>
        <v>448.9605582524272</v>
      </c>
      <c r="E22" s="361">
        <v>0</v>
      </c>
      <c r="F22" s="279">
        <f>E22/'- 3 -'!D22</f>
        <v>0</v>
      </c>
      <c r="G22" s="361">
        <f>IF('- 7 -'!B22=0,"",E22/'- 7 -'!B22)</f>
      </c>
    </row>
    <row r="23" spans="1:7" ht="13.5" customHeight="1">
      <c r="A23" s="387" t="s">
        <v>338</v>
      </c>
      <c r="B23" s="362">
        <v>665609</v>
      </c>
      <c r="C23" s="278">
        <f>B23/'- 3 -'!D23</f>
        <v>0.06217849152124218</v>
      </c>
      <c r="D23" s="362">
        <f>B23/'- 7 -'!C23</f>
        <v>485.4562030486471</v>
      </c>
      <c r="E23" s="362">
        <v>220951</v>
      </c>
      <c r="F23" s="278">
        <f>E23/'- 3 -'!D23</f>
        <v>0.020640345728663495</v>
      </c>
      <c r="G23" s="362">
        <f>IF('- 7 -'!B23=0,"",E23/'- 7 -'!B23)</f>
        <v>5665.410256410257</v>
      </c>
    </row>
    <row r="24" spans="1:7" ht="13.5" customHeight="1">
      <c r="A24" s="388" t="s">
        <v>339</v>
      </c>
      <c r="B24" s="361">
        <v>2256640</v>
      </c>
      <c r="C24" s="279">
        <f>B24/'- 3 -'!D24</f>
        <v>0.06768016276815221</v>
      </c>
      <c r="D24" s="361">
        <f>B24/'- 7 -'!C24</f>
        <v>492.3184327072016</v>
      </c>
      <c r="E24" s="361">
        <v>1262677</v>
      </c>
      <c r="F24" s="279">
        <f>E24/'- 3 -'!D24</f>
        <v>0.03786965793551569</v>
      </c>
      <c r="G24" s="361">
        <f>IF('- 7 -'!B24=0,"",E24/'- 7 -'!B24)</f>
        <v>5050.708</v>
      </c>
    </row>
    <row r="25" spans="1:7" ht="13.5" customHeight="1">
      <c r="A25" s="387" t="s">
        <v>340</v>
      </c>
      <c r="B25" s="362">
        <v>7375276</v>
      </c>
      <c r="C25" s="278">
        <f>B25/'- 3 -'!D25</f>
        <v>0.07127470596901633</v>
      </c>
      <c r="D25" s="362">
        <f>B25/'- 7 -'!C25</f>
        <v>500.92887415779177</v>
      </c>
      <c r="E25" s="362">
        <v>927906</v>
      </c>
      <c r="F25" s="278">
        <f>E25/'- 3 -'!D25</f>
        <v>0.008967288453596322</v>
      </c>
      <c r="G25" s="362">
        <f>IF('- 7 -'!B25=0,"",E25/'- 7 -'!B25)</f>
        <v>4604.992555831265</v>
      </c>
    </row>
    <row r="26" spans="1:7" ht="13.5" customHeight="1">
      <c r="A26" s="388" t="s">
        <v>341</v>
      </c>
      <c r="B26" s="361">
        <v>1733626.44</v>
      </c>
      <c r="C26" s="279">
        <f>B26/'- 3 -'!D26</f>
        <v>0.06715225458270979</v>
      </c>
      <c r="D26" s="361">
        <f>B26/'- 7 -'!C26</f>
        <v>521.0779801623083</v>
      </c>
      <c r="E26" s="361">
        <v>704782.59</v>
      </c>
      <c r="F26" s="279">
        <f>E26/'- 3 -'!D26</f>
        <v>0.027299848927743384</v>
      </c>
      <c r="G26" s="361">
        <f>IF('- 7 -'!B26=0,"",E26/'- 7 -'!B26)</f>
        <v>4606.4221568627445</v>
      </c>
    </row>
    <row r="27" spans="1:7" ht="13.5" customHeight="1">
      <c r="A27" s="387" t="s">
        <v>342</v>
      </c>
      <c r="B27" s="362">
        <v>1571413</v>
      </c>
      <c r="C27" s="278">
        <f>B27/'- 3 -'!D27</f>
        <v>0.061167473202083725</v>
      </c>
      <c r="D27" s="362">
        <f>B27/'- 7 -'!C27</f>
        <v>482.1320528947934</v>
      </c>
      <c r="E27" s="362">
        <v>668597</v>
      </c>
      <c r="F27" s="278">
        <f>E27/'- 3 -'!D27</f>
        <v>0.02602523275580231</v>
      </c>
      <c r="G27" s="362">
        <f>IF('- 7 -'!B27=0,"",E27/'- 7 -'!B27)</f>
        <v>4392.884362680684</v>
      </c>
    </row>
    <row r="28" spans="1:7" ht="13.5" customHeight="1">
      <c r="A28" s="388" t="s">
        <v>343</v>
      </c>
      <c r="B28" s="361">
        <v>949747.29</v>
      </c>
      <c r="C28" s="279">
        <f>B28/'- 3 -'!D28</f>
        <v>0.059016489420105664</v>
      </c>
      <c r="D28" s="361">
        <f>B28/'- 7 -'!C28</f>
        <v>443.55842051186255</v>
      </c>
      <c r="E28" s="361">
        <v>287107</v>
      </c>
      <c r="F28" s="279">
        <f>E28/'- 3 -'!D28</f>
        <v>0.017840584970701286</v>
      </c>
      <c r="G28" s="361">
        <f>IF('- 7 -'!B28=0,"",E28/'- 7 -'!B28)</f>
        <v>6366.008869179601</v>
      </c>
    </row>
    <row r="29" spans="1:7" ht="13.5" customHeight="1">
      <c r="A29" s="387" t="s">
        <v>344</v>
      </c>
      <c r="B29" s="362">
        <v>7255541</v>
      </c>
      <c r="C29" s="278">
        <f>B29/'- 3 -'!D29</f>
        <v>0.07434278221630694</v>
      </c>
      <c r="D29" s="362">
        <f>B29/'- 7 -'!C29</f>
        <v>556.7181781211875</v>
      </c>
      <c r="E29" s="362">
        <v>0</v>
      </c>
      <c r="F29" s="278">
        <f>E29/'- 3 -'!D29</f>
        <v>0</v>
      </c>
      <c r="G29" s="362">
        <f>IF('- 7 -'!B29=0,"",E29/'- 7 -'!B29)</f>
      </c>
    </row>
    <row r="30" spans="1:7" ht="13.5" customHeight="1">
      <c r="A30" s="388" t="s">
        <v>345</v>
      </c>
      <c r="B30" s="361">
        <v>497733</v>
      </c>
      <c r="C30" s="279">
        <f>B30/'- 3 -'!D30</f>
        <v>0.051659126753979365</v>
      </c>
      <c r="D30" s="361">
        <f>B30/'- 7 -'!C30</f>
        <v>388.06564790269766</v>
      </c>
      <c r="E30" s="361">
        <v>0</v>
      </c>
      <c r="F30" s="279">
        <f>E30/'- 3 -'!D30</f>
        <v>0</v>
      </c>
      <c r="G30" s="361">
        <f>IF('- 7 -'!B30=0,"",E30/'- 7 -'!B30)</f>
      </c>
    </row>
    <row r="31" spans="1:7" ht="13.5" customHeight="1">
      <c r="A31" s="387" t="s">
        <v>346</v>
      </c>
      <c r="B31" s="362">
        <v>1805292</v>
      </c>
      <c r="C31" s="278">
        <f>B31/'- 3 -'!D31</f>
        <v>0.07400212288202673</v>
      </c>
      <c r="D31" s="362">
        <f>B31/'- 7 -'!C31</f>
        <v>553.2953291651343</v>
      </c>
      <c r="E31" s="362">
        <v>392780</v>
      </c>
      <c r="F31" s="278">
        <f>E31/'- 3 -'!D31</f>
        <v>0.01610074925585582</v>
      </c>
      <c r="G31" s="362">
        <f>IF('- 7 -'!B31=0,"",E31/'- 7 -'!B31)</f>
        <v>7141.454545454545</v>
      </c>
    </row>
    <row r="32" spans="1:7" ht="13.5" customHeight="1">
      <c r="A32" s="388" t="s">
        <v>347</v>
      </c>
      <c r="B32" s="361">
        <v>1047475</v>
      </c>
      <c r="C32" s="279">
        <f>B32/'- 3 -'!D32</f>
        <v>0.05762345411424228</v>
      </c>
      <c r="D32" s="361">
        <f>B32/'- 7 -'!C32</f>
        <v>445.7340425531915</v>
      </c>
      <c r="E32" s="361">
        <v>0</v>
      </c>
      <c r="F32" s="279">
        <f>E32/'- 3 -'!D32</f>
        <v>0</v>
      </c>
      <c r="G32" s="361">
        <f>IF('- 7 -'!B32=0,"",E32/'- 7 -'!B32)</f>
      </c>
    </row>
    <row r="33" spans="1:7" ht="13.5" customHeight="1">
      <c r="A33" s="387" t="s">
        <v>348</v>
      </c>
      <c r="B33" s="362">
        <v>1205472</v>
      </c>
      <c r="C33" s="278">
        <f>B33/'- 3 -'!D33</f>
        <v>0.055610921731264716</v>
      </c>
      <c r="D33" s="362">
        <f>B33/'- 7 -'!C33</f>
        <v>483.52332437527576</v>
      </c>
      <c r="E33" s="362">
        <v>0</v>
      </c>
      <c r="F33" s="278">
        <f>E33/'- 3 -'!D33</f>
        <v>0</v>
      </c>
      <c r="G33" s="362">
        <f>IF('- 7 -'!B33=0,"",E33/'- 7 -'!B33)</f>
      </c>
    </row>
    <row r="34" spans="1:7" ht="13.5" customHeight="1">
      <c r="A34" s="388" t="s">
        <v>349</v>
      </c>
      <c r="B34" s="361">
        <v>1200580</v>
      </c>
      <c r="C34" s="279">
        <f>B34/'- 3 -'!D34</f>
        <v>0.07306238198450232</v>
      </c>
      <c r="D34" s="361">
        <f>B34/'- 7 -'!C34</f>
        <v>545.1235016345804</v>
      </c>
      <c r="E34" s="361">
        <v>154929</v>
      </c>
      <c r="F34" s="279">
        <f>E34/'- 3 -'!D34</f>
        <v>0.009428344448913824</v>
      </c>
      <c r="G34" s="361">
        <f>IF('- 7 -'!B34=0,"",E34/'- 7 -'!B34)</f>
        <v>6947.488789237668</v>
      </c>
    </row>
    <row r="35" spans="1:7" ht="13.5" customHeight="1">
      <c r="A35" s="387" t="s">
        <v>350</v>
      </c>
      <c r="B35" s="362">
        <v>8877851</v>
      </c>
      <c r="C35" s="278">
        <f>B35/'- 3 -'!D35</f>
        <v>0.07254677014242213</v>
      </c>
      <c r="D35" s="362">
        <f>B35/'- 7 -'!C35</f>
        <v>504.00239572629675</v>
      </c>
      <c r="E35" s="362">
        <v>2417390</v>
      </c>
      <c r="F35" s="278">
        <f>E35/'- 3 -'!D35</f>
        <v>0.019754086509740906</v>
      </c>
      <c r="G35" s="362">
        <f>IF('- 7 -'!B35=0,"",E35/'- 7 -'!B35)</f>
        <v>6709.381071329448</v>
      </c>
    </row>
    <row r="36" spans="1:7" ht="13.5" customHeight="1">
      <c r="A36" s="388" t="s">
        <v>351</v>
      </c>
      <c r="B36" s="361">
        <v>1004515</v>
      </c>
      <c r="C36" s="279">
        <f>B36/'- 3 -'!D36</f>
        <v>0.06309080009182416</v>
      </c>
      <c r="D36" s="361">
        <f>B36/'- 7 -'!C36</f>
        <v>472.9354990583804</v>
      </c>
      <c r="E36" s="361">
        <v>101218</v>
      </c>
      <c r="F36" s="279">
        <f>E36/'- 3 -'!D36</f>
        <v>0.006357221747504276</v>
      </c>
      <c r="G36" s="361">
        <f>IF('- 7 -'!B36=0,"",E36/'- 7 -'!B36)</f>
        <v>5035.721393034825</v>
      </c>
    </row>
    <row r="37" spans="1:7" ht="13.5" customHeight="1">
      <c r="A37" s="387" t="s">
        <v>352</v>
      </c>
      <c r="B37" s="362">
        <v>2048865</v>
      </c>
      <c r="C37" s="278">
        <f>B37/'- 3 -'!D37</f>
        <v>0.08759528431844048</v>
      </c>
      <c r="D37" s="362">
        <f>B37/'- 7 -'!C37</f>
        <v>606.1551433389545</v>
      </c>
      <c r="E37" s="362">
        <v>0</v>
      </c>
      <c r="F37" s="278">
        <f>E37/'- 3 -'!D37</f>
        <v>0</v>
      </c>
      <c r="G37" s="362">
        <f>IF('- 7 -'!B37=0,"",E37/'- 7 -'!B37)</f>
      </c>
    </row>
    <row r="38" spans="1:7" ht="13.5" customHeight="1">
      <c r="A38" s="388" t="s">
        <v>353</v>
      </c>
      <c r="B38" s="361">
        <v>4910703</v>
      </c>
      <c r="C38" s="279">
        <f>B38/'- 3 -'!D38</f>
        <v>0.07979619184657849</v>
      </c>
      <c r="D38" s="361">
        <f>B38/'- 7 -'!C38</f>
        <v>579.2631082276614</v>
      </c>
      <c r="E38" s="361">
        <v>439797.97</v>
      </c>
      <c r="F38" s="279">
        <f>E38/'- 3 -'!D38</f>
        <v>0.007146472345783438</v>
      </c>
      <c r="G38" s="361">
        <f>IF('- 7 -'!B38=0,"",E38/'- 7 -'!B38)</f>
        <v>4487.734387755102</v>
      </c>
    </row>
    <row r="39" spans="1:7" ht="13.5" customHeight="1">
      <c r="A39" s="387" t="s">
        <v>354</v>
      </c>
      <c r="B39" s="362">
        <v>680335</v>
      </c>
      <c r="C39" s="278">
        <f>B39/'- 3 -'!D39</f>
        <v>0.046340233605849136</v>
      </c>
      <c r="D39" s="362">
        <f>B39/'- 7 -'!C39</f>
        <v>376.0834715312327</v>
      </c>
      <c r="E39" s="362">
        <v>0</v>
      </c>
      <c r="F39" s="278">
        <f>E39/'- 3 -'!D39</f>
        <v>0</v>
      </c>
      <c r="G39" s="362">
        <f>IF('- 7 -'!B39=0,"",E39/'- 7 -'!B39)</f>
      </c>
    </row>
    <row r="40" spans="1:7" ht="13.5" customHeight="1">
      <c r="A40" s="388" t="s">
        <v>355</v>
      </c>
      <c r="B40" s="361">
        <v>2691560</v>
      </c>
      <c r="C40" s="279">
        <f>B40/'- 3 -'!D40</f>
        <v>0.04336248841873604</v>
      </c>
      <c r="D40" s="361">
        <f>B40/'- 7 -'!C40</f>
        <v>298.86132100088275</v>
      </c>
      <c r="E40" s="361">
        <v>3041107</v>
      </c>
      <c r="F40" s="279">
        <f>E40/'- 3 -'!D40</f>
        <v>0.048993879782593404</v>
      </c>
      <c r="G40" s="361">
        <f>IF('- 7 -'!B40=0,"",E40/'- 7 -'!B40)</f>
        <v>4082.0228187919465</v>
      </c>
    </row>
    <row r="41" spans="1:7" ht="13.5" customHeight="1">
      <c r="A41" s="387" t="s">
        <v>356</v>
      </c>
      <c r="B41" s="362">
        <v>2281708</v>
      </c>
      <c r="C41" s="278">
        <f>B41/'- 3 -'!D41</f>
        <v>0.06075086441944016</v>
      </c>
      <c r="D41" s="362">
        <f>B41/'- 7 -'!C41</f>
        <v>465.7687596962521</v>
      </c>
      <c r="E41" s="362">
        <v>0</v>
      </c>
      <c r="F41" s="278">
        <f>E41/'- 3 -'!D41</f>
        <v>0</v>
      </c>
      <c r="G41" s="362">
        <f>IF('- 7 -'!B41=0,"",E41/'- 7 -'!B41)</f>
      </c>
    </row>
    <row r="42" spans="1:7" ht="13.5" customHeight="1">
      <c r="A42" s="388" t="s">
        <v>357</v>
      </c>
      <c r="B42" s="361">
        <v>943138</v>
      </c>
      <c r="C42" s="279">
        <f>B42/'- 3 -'!D42</f>
        <v>0.06486484776391385</v>
      </c>
      <c r="D42" s="361">
        <f>B42/'- 7 -'!C42</f>
        <v>501.58910812104455</v>
      </c>
      <c r="E42" s="361">
        <v>638869</v>
      </c>
      <c r="F42" s="279">
        <f>E42/'- 3 -'!D42</f>
        <v>0.0439385757185946</v>
      </c>
      <c r="G42" s="361">
        <f>IF('- 7 -'!B42=0,"",E42/'- 7 -'!B42)</f>
        <v>4663.2773722627735</v>
      </c>
    </row>
    <row r="43" spans="1:7" ht="13.5" customHeight="1">
      <c r="A43" s="387" t="s">
        <v>358</v>
      </c>
      <c r="B43" s="362">
        <v>453909</v>
      </c>
      <c r="C43" s="278">
        <f>B43/'- 3 -'!D43</f>
        <v>0.04980047837792558</v>
      </c>
      <c r="D43" s="362">
        <f>B43/'- 7 -'!C43</f>
        <v>372.36177194421657</v>
      </c>
      <c r="E43" s="362">
        <v>0</v>
      </c>
      <c r="F43" s="278">
        <f>E43/'- 3 -'!D43</f>
        <v>0</v>
      </c>
      <c r="G43" s="362">
        <f>IF('- 7 -'!B43=0,"",E43/'- 7 -'!B43)</f>
      </c>
    </row>
    <row r="44" spans="1:7" ht="13.5" customHeight="1">
      <c r="A44" s="388" t="s">
        <v>359</v>
      </c>
      <c r="B44" s="361">
        <v>311914</v>
      </c>
      <c r="C44" s="279">
        <f>B44/'- 3 -'!D44</f>
        <v>0.047654753285945685</v>
      </c>
      <c r="D44" s="361">
        <f>B44/'- 7 -'!C44</f>
        <v>381.08002443494195</v>
      </c>
      <c r="E44" s="361">
        <v>0</v>
      </c>
      <c r="F44" s="279">
        <f>E44/'- 3 -'!D44</f>
        <v>0</v>
      </c>
      <c r="G44" s="361">
        <f>IF('- 7 -'!B44=0,"",E44/'- 7 -'!B44)</f>
      </c>
    </row>
    <row r="45" spans="1:7" ht="13.5" customHeight="1">
      <c r="A45" s="387" t="s">
        <v>360</v>
      </c>
      <c r="B45" s="362">
        <v>635827</v>
      </c>
      <c r="C45" s="278">
        <f>B45/'- 3 -'!D45</f>
        <v>0.06429769031631745</v>
      </c>
      <c r="D45" s="362">
        <f>B45/'- 7 -'!C45</f>
        <v>438.8040027605245</v>
      </c>
      <c r="E45" s="362">
        <v>0</v>
      </c>
      <c r="F45" s="278">
        <f>E45/'- 3 -'!D45</f>
        <v>0</v>
      </c>
      <c r="G45" s="362">
        <f>IF('- 7 -'!B45=0,"",E45/'- 7 -'!B45)</f>
      </c>
    </row>
    <row r="46" spans="1:7" ht="13.5" customHeight="1">
      <c r="A46" s="388" t="s">
        <v>361</v>
      </c>
      <c r="B46" s="361">
        <v>19712565</v>
      </c>
      <c r="C46" s="279">
        <f>B46/'- 3 -'!D46</f>
        <v>0.07867135692874803</v>
      </c>
      <c r="D46" s="361">
        <f>B46/'- 7 -'!C46</f>
        <v>663.7674254158529</v>
      </c>
      <c r="E46" s="361">
        <v>3615287</v>
      </c>
      <c r="F46" s="279">
        <f>E46/'- 3 -'!D46</f>
        <v>0.014428337153326453</v>
      </c>
      <c r="G46" s="361">
        <f>IF('- 7 -'!B46=0,"",E46/'- 7 -'!B46)</f>
        <v>6090.443059299191</v>
      </c>
    </row>
    <row r="47" spans="1:7" ht="13.5" customHeight="1">
      <c r="A47" s="387" t="s">
        <v>365</v>
      </c>
      <c r="B47" s="362">
        <v>265058</v>
      </c>
      <c r="C47" s="278">
        <f>B47/'- 3 -'!D47</f>
        <v>0.04765309521827623</v>
      </c>
      <c r="D47" s="362">
        <f>B47/'- 7 -'!C47</f>
        <v>429.74480365770614</v>
      </c>
      <c r="E47" s="362">
        <v>2735070</v>
      </c>
      <c r="F47" s="278">
        <f>E47/'- 3 -'!D47</f>
        <v>0.49172087293592637</v>
      </c>
      <c r="G47" s="362">
        <f>IF('- 7 -'!B47=0,"",E47/'- 7 -'!B47)</f>
        <v>4660.197648662464</v>
      </c>
    </row>
    <row r="48" spans="1:7" ht="4.5" customHeight="1">
      <c r="A48" s="389"/>
      <c r="B48" s="322"/>
      <c r="C48" s="162"/>
      <c r="D48" s="322"/>
      <c r="E48" s="322"/>
      <c r="F48" s="162"/>
      <c r="G48" s="322"/>
    </row>
    <row r="49" spans="1:7" ht="13.5" customHeight="1">
      <c r="A49" s="383" t="s">
        <v>362</v>
      </c>
      <c r="B49" s="363">
        <f>SUM(B11:B47)</f>
        <v>91442168.73</v>
      </c>
      <c r="C49" s="81">
        <f>B49/'- 3 -'!D49</f>
        <v>0.06786072273952262</v>
      </c>
      <c r="D49" s="363">
        <f>B49/'- 7 -'!C49</f>
        <v>517.2734561459075</v>
      </c>
      <c r="E49" s="363">
        <f>SUM(E11:E47)</f>
        <v>22155118.560000002</v>
      </c>
      <c r="F49" s="81">
        <f>E49/'- 3 -'!D49</f>
        <v>0.01644167432533959</v>
      </c>
      <c r="G49" s="363">
        <f>E49/'- 7 -'!B49</f>
        <v>5122.807658157603</v>
      </c>
    </row>
    <row r="50" spans="1:7" ht="4.5" customHeight="1">
      <c r="A50" s="389" t="s">
        <v>15</v>
      </c>
      <c r="B50" s="322"/>
      <c r="C50" s="162"/>
      <c r="D50" s="322"/>
      <c r="E50" s="322"/>
      <c r="F50" s="162"/>
      <c r="G50" s="9"/>
    </row>
    <row r="51" spans="1:7" ht="13.5" customHeight="1">
      <c r="A51" s="388" t="s">
        <v>363</v>
      </c>
      <c r="B51" s="361">
        <v>35510</v>
      </c>
      <c r="C51" s="279">
        <f>B51/'- 3 -'!D51</f>
        <v>0.028107052170994726</v>
      </c>
      <c r="D51" s="361">
        <f>B51/'- 7 -'!C51</f>
        <v>232.09150326797385</v>
      </c>
      <c r="E51" s="361">
        <v>0</v>
      </c>
      <c r="F51" s="279">
        <f>E51/'- 3 -'!D51</f>
        <v>0</v>
      </c>
      <c r="G51" s="8">
        <f>IF('- 7 -'!B51=0,"",E51/'- 7 -'!B51)</f>
      </c>
    </row>
    <row r="52" spans="1:7" ht="13.5" customHeight="1">
      <c r="A52" s="387" t="s">
        <v>364</v>
      </c>
      <c r="B52" s="362">
        <v>160850</v>
      </c>
      <c r="C52" s="278">
        <f>B52/'- 3 -'!D52</f>
        <v>0.06745482078656892</v>
      </c>
      <c r="D52" s="362">
        <f>B52/'- 7 -'!C52</f>
        <v>589.1941391941392</v>
      </c>
      <c r="E52" s="362">
        <v>0</v>
      </c>
      <c r="F52" s="278">
        <f>E52/'- 3 -'!D52</f>
        <v>0</v>
      </c>
      <c r="G52" s="7">
        <f>IF('- 7 -'!B52=0,"",E52/'- 7 -'!B52)</f>
      </c>
    </row>
    <row r="53" spans="2:7" ht="49.5" customHeight="1">
      <c r="B53" s="74"/>
      <c r="C53" s="74"/>
      <c r="D53" s="74"/>
      <c r="E53" s="74"/>
      <c r="F53" s="74"/>
      <c r="G53" s="74"/>
    </row>
    <row r="54" spans="1:7" ht="12" customHeight="1">
      <c r="A54"/>
      <c r="C54" s="74"/>
      <c r="D54" s="74"/>
      <c r="E54" s="74"/>
      <c r="F54" s="74"/>
      <c r="G54" s="74"/>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62"/>
  <sheetViews>
    <sheetView showGridLines="0" showZeros="0" workbookViewId="0" topLeftCell="A1">
      <selection activeCell="A1" sqref="A1"/>
    </sheetView>
  </sheetViews>
  <sheetFormatPr defaultColWidth="15.83203125" defaultRowHeight="12"/>
  <cols>
    <col min="1" max="1" width="33.83203125" style="67" customWidth="1"/>
    <col min="2" max="2" width="15.83203125" style="67" customWidth="1"/>
    <col min="3" max="3" width="7.83203125" style="67" customWidth="1"/>
    <col min="4" max="4" width="9.83203125" style="67" customWidth="1"/>
    <col min="5" max="5" width="15.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10" ht="6.75" customHeight="1">
      <c r="A1" s="65"/>
      <c r="B1" s="65"/>
      <c r="C1" s="65"/>
      <c r="D1" s="65"/>
      <c r="E1" s="65"/>
      <c r="F1" s="65"/>
      <c r="G1" s="65"/>
      <c r="H1" s="66"/>
      <c r="I1" s="66"/>
      <c r="J1" s="66"/>
    </row>
    <row r="2" spans="1:10" ht="15.75" customHeight="1">
      <c r="A2" s="333"/>
      <c r="B2" s="471" t="s">
        <v>12</v>
      </c>
      <c r="C2" s="69"/>
      <c r="D2" s="69"/>
      <c r="E2" s="163"/>
      <c r="F2" s="163"/>
      <c r="G2" s="163"/>
      <c r="H2" s="163"/>
      <c r="I2" s="68"/>
      <c r="J2" s="336" t="s">
        <v>286</v>
      </c>
    </row>
    <row r="3" spans="1:10" ht="15.75" customHeight="1">
      <c r="A3" s="334"/>
      <c r="B3" s="473" t="str">
        <f>OPYEAR</f>
        <v>OPERATING FUND 2002/2003 ACTUAL</v>
      </c>
      <c r="C3" s="71"/>
      <c r="D3" s="71"/>
      <c r="E3" s="166"/>
      <c r="F3" s="166"/>
      <c r="G3" s="166"/>
      <c r="H3" s="166"/>
      <c r="I3" s="70"/>
      <c r="J3" s="72"/>
    </row>
    <row r="4" spans="8:10" ht="15.75" customHeight="1">
      <c r="H4" s="66"/>
      <c r="I4" s="66"/>
      <c r="J4" s="66"/>
    </row>
    <row r="5" spans="2:10" ht="15.75" customHeight="1">
      <c r="B5" s="266" t="s">
        <v>227</v>
      </c>
      <c r="C5" s="140"/>
      <c r="D5" s="140"/>
      <c r="E5" s="140"/>
      <c r="F5" s="140"/>
      <c r="G5" s="140"/>
      <c r="H5" s="140"/>
      <c r="I5" s="267"/>
      <c r="J5" s="268"/>
    </row>
    <row r="6" spans="2:10" ht="15.75" customHeight="1">
      <c r="B6" s="294" t="s">
        <v>274</v>
      </c>
      <c r="C6" s="27"/>
      <c r="D6" s="27"/>
      <c r="E6" s="27"/>
      <c r="F6" s="27"/>
      <c r="G6" s="28"/>
      <c r="H6" s="75"/>
      <c r="I6" s="76"/>
      <c r="J6" s="77"/>
    </row>
    <row r="7" spans="2:10" ht="15.75" customHeight="1">
      <c r="B7" s="32" t="s">
        <v>51</v>
      </c>
      <c r="C7" s="33"/>
      <c r="D7" s="34"/>
      <c r="E7" s="32" t="s">
        <v>52</v>
      </c>
      <c r="F7" s="33"/>
      <c r="G7" s="34"/>
      <c r="H7" s="32" t="s">
        <v>53</v>
      </c>
      <c r="I7" s="33"/>
      <c r="J7" s="34"/>
    </row>
    <row r="8" spans="1:10" ht="15.75" customHeight="1">
      <c r="A8" s="313"/>
      <c r="B8" s="39"/>
      <c r="C8" s="40"/>
      <c r="D8" s="38" t="s">
        <v>87</v>
      </c>
      <c r="E8" s="39"/>
      <c r="F8" s="40"/>
      <c r="G8" s="38" t="s">
        <v>87</v>
      </c>
      <c r="H8" s="78"/>
      <c r="I8" s="37"/>
      <c r="J8" s="38" t="s">
        <v>87</v>
      </c>
    </row>
    <row r="9" spans="1:10" ht="15.75" customHeight="1">
      <c r="A9" s="314" t="s">
        <v>112</v>
      </c>
      <c r="B9" s="41" t="s">
        <v>113</v>
      </c>
      <c r="C9" s="41" t="s">
        <v>114</v>
      </c>
      <c r="D9" s="41" t="s">
        <v>115</v>
      </c>
      <c r="E9" s="41" t="s">
        <v>113</v>
      </c>
      <c r="F9" s="41" t="s">
        <v>114</v>
      </c>
      <c r="G9" s="41" t="s">
        <v>115</v>
      </c>
      <c r="H9" s="79" t="s">
        <v>113</v>
      </c>
      <c r="I9" s="41" t="s">
        <v>114</v>
      </c>
      <c r="J9" s="41" t="s">
        <v>115</v>
      </c>
    </row>
    <row r="10" spans="1:10" ht="4.5" customHeight="1">
      <c r="A10" s="62"/>
      <c r="B10" s="74"/>
      <c r="C10" s="74"/>
      <c r="D10" s="74"/>
      <c r="E10" s="74"/>
      <c r="F10" s="74"/>
      <c r="G10" s="74"/>
      <c r="H10" s="74"/>
      <c r="I10" s="74"/>
      <c r="J10" s="74"/>
    </row>
    <row r="11" spans="1:10" ht="13.5" customHeight="1">
      <c r="A11" s="387" t="s">
        <v>327</v>
      </c>
      <c r="B11" s="362">
        <v>6112145</v>
      </c>
      <c r="C11" s="278">
        <f>B11/'- 3 -'!D11</f>
        <v>0.5471101487881954</v>
      </c>
      <c r="D11" s="362">
        <f>B11/'- 6 -'!B11</f>
        <v>3857.459766487851</v>
      </c>
      <c r="E11" s="362">
        <v>0</v>
      </c>
      <c r="F11" s="278">
        <f>E11/'- 3 -'!D11</f>
        <v>0</v>
      </c>
      <c r="G11" s="362">
        <f>IF('- 6 -'!C11=0,"",E11/'- 6 -'!C11)</f>
      </c>
      <c r="H11" s="362">
        <v>0</v>
      </c>
      <c r="I11" s="278">
        <f>H11/'- 3 -'!D11</f>
        <v>0</v>
      </c>
      <c r="J11" s="362">
        <f>IF('- 6 -'!D11=0,"",H11/'- 6 -'!D11)</f>
      </c>
    </row>
    <row r="12" spans="1:10" ht="13.5" customHeight="1">
      <c r="A12" s="388" t="s">
        <v>328</v>
      </c>
      <c r="B12" s="361">
        <v>8473226</v>
      </c>
      <c r="C12" s="279">
        <f>B12/'- 3 -'!D12</f>
        <v>0.4615914713376393</v>
      </c>
      <c r="D12" s="361">
        <f>B12/'- 6 -'!B12</f>
        <v>3778.3046463925803</v>
      </c>
      <c r="E12" s="361">
        <v>0</v>
      </c>
      <c r="F12" s="279">
        <f>E12/'- 3 -'!D12</f>
        <v>0</v>
      </c>
      <c r="G12" s="361">
        <f>IF('- 6 -'!C12=0,"",E12/'- 6 -'!C12)</f>
      </c>
      <c r="H12" s="361">
        <v>186313</v>
      </c>
      <c r="I12" s="279">
        <f>H12/'- 3 -'!D12</f>
        <v>0.010149675200369917</v>
      </c>
      <c r="J12" s="361">
        <f>IF('- 6 -'!D12=0,"",H12/'- 6 -'!D12)</f>
        <v>5175.361111111111</v>
      </c>
    </row>
    <row r="13" spans="1:10" ht="13.5" customHeight="1">
      <c r="A13" s="387" t="s">
        <v>329</v>
      </c>
      <c r="B13" s="362">
        <v>20022843</v>
      </c>
      <c r="C13" s="278">
        <f>B13/'- 3 -'!D13</f>
        <v>0.4303019676277485</v>
      </c>
      <c r="D13" s="362">
        <f>B13/'- 6 -'!B13</f>
        <v>3518.705714888233</v>
      </c>
      <c r="E13" s="362">
        <v>0</v>
      </c>
      <c r="F13" s="278">
        <f>E13/'- 3 -'!D13</f>
        <v>0</v>
      </c>
      <c r="G13" s="362">
        <f>IF('- 6 -'!C13=0,"",E13/'- 6 -'!C13)</f>
      </c>
      <c r="H13" s="362">
        <v>0</v>
      </c>
      <c r="I13" s="278">
        <f>H13/'- 3 -'!D13</f>
        <v>0</v>
      </c>
      <c r="J13" s="362">
        <f>IF('- 6 -'!D13=0,"",H13/'- 6 -'!D13)</f>
      </c>
    </row>
    <row r="14" spans="1:10" ht="13.5" customHeight="1">
      <c r="A14" s="388" t="s">
        <v>366</v>
      </c>
      <c r="B14" s="361">
        <v>0</v>
      </c>
      <c r="C14" s="279">
        <f>B14/'- 3 -'!D14</f>
        <v>0</v>
      </c>
      <c r="D14" s="361"/>
      <c r="E14" s="361">
        <v>19236285</v>
      </c>
      <c r="F14" s="279">
        <f>E14/'- 3 -'!D14</f>
        <v>0.4872261065435959</v>
      </c>
      <c r="G14" s="361">
        <f>IF('- 6 -'!C14=0,"",E14/'- 6 -'!C14)</f>
        <v>4557.605373516241</v>
      </c>
      <c r="H14" s="361">
        <v>0</v>
      </c>
      <c r="I14" s="279">
        <f>H14/'- 3 -'!D14</f>
        <v>0</v>
      </c>
      <c r="J14" s="361">
        <f>IF('- 6 -'!D14=0,"",H14/'- 6 -'!D14)</f>
      </c>
    </row>
    <row r="15" spans="1:10" ht="13.5" customHeight="1">
      <c r="A15" s="387" t="s">
        <v>330</v>
      </c>
      <c r="B15" s="362">
        <v>6394835</v>
      </c>
      <c r="C15" s="278">
        <f>B15/'- 3 -'!D15</f>
        <v>0.5093231235637833</v>
      </c>
      <c r="D15" s="362">
        <f>B15/'- 6 -'!B15</f>
        <v>3822.3759713090258</v>
      </c>
      <c r="E15" s="362">
        <v>0</v>
      </c>
      <c r="F15" s="278">
        <f>E15/'- 3 -'!D15</f>
        <v>0</v>
      </c>
      <c r="G15" s="362">
        <f>IF('- 6 -'!C15=0,"",E15/'- 6 -'!C15)</f>
      </c>
      <c r="H15" s="362">
        <v>0</v>
      </c>
      <c r="I15" s="278">
        <f>H15/'- 3 -'!D15</f>
        <v>0</v>
      </c>
      <c r="J15" s="362">
        <f>IF('- 6 -'!D15=0,"",H15/'- 6 -'!D15)</f>
      </c>
    </row>
    <row r="16" spans="1:10" ht="13.5" customHeight="1">
      <c r="A16" s="388" t="s">
        <v>331</v>
      </c>
      <c r="B16" s="361">
        <v>4107908</v>
      </c>
      <c r="C16" s="279">
        <f>B16/'- 3 -'!D16</f>
        <v>0.3809315561569488</v>
      </c>
      <c r="D16" s="361">
        <f>B16/'- 6 -'!B16</f>
        <v>4305.441663522408</v>
      </c>
      <c r="E16" s="361">
        <v>0</v>
      </c>
      <c r="F16" s="279">
        <f>E16/'- 3 -'!D16</f>
        <v>0</v>
      </c>
      <c r="G16" s="361">
        <f>IF('- 6 -'!C16=0,"",E16/'- 6 -'!C16)</f>
      </c>
      <c r="H16" s="361">
        <v>0</v>
      </c>
      <c r="I16" s="279">
        <f>H16/'- 3 -'!D16</f>
        <v>0</v>
      </c>
      <c r="J16" s="361">
        <f>IF('- 6 -'!D16=0,"",H16/'- 6 -'!D16)</f>
      </c>
    </row>
    <row r="17" spans="1:10" ht="13.5" customHeight="1">
      <c r="A17" s="387" t="s">
        <v>332</v>
      </c>
      <c r="B17" s="362">
        <v>6254581</v>
      </c>
      <c r="C17" s="278">
        <f>B17/'- 3 -'!D17</f>
        <v>0.5081440102665777</v>
      </c>
      <c r="D17" s="362">
        <f>B17/'- 6 -'!B17</f>
        <v>4063.5799581595393</v>
      </c>
      <c r="E17" s="362">
        <v>0</v>
      </c>
      <c r="F17" s="278">
        <f>E17/'- 3 -'!D17</f>
        <v>0</v>
      </c>
      <c r="G17" s="362">
        <f>IF('- 6 -'!C17=0,"",E17/'- 6 -'!C17)</f>
      </c>
      <c r="H17" s="362">
        <v>0</v>
      </c>
      <c r="I17" s="278">
        <f>H17/'- 3 -'!D17</f>
        <v>0</v>
      </c>
      <c r="J17" s="362">
        <f>IF('- 6 -'!D17=0,"",H17/'- 6 -'!D17)</f>
      </c>
    </row>
    <row r="18" spans="1:10" ht="13.5" customHeight="1">
      <c r="A18" s="388" t="s">
        <v>333</v>
      </c>
      <c r="B18" s="361">
        <v>29357912</v>
      </c>
      <c r="C18" s="279">
        <f>B18/'- 3 -'!D18</f>
        <v>0.4058878747190423</v>
      </c>
      <c r="D18" s="361">
        <f>B18/'- 6 -'!B18</f>
        <v>4973.388446552601</v>
      </c>
      <c r="E18" s="361">
        <v>0</v>
      </c>
      <c r="F18" s="279">
        <f>E18/'- 3 -'!D18</f>
        <v>0</v>
      </c>
      <c r="G18" s="361">
        <f>IF('- 6 -'!C18=0,"",E18/'- 6 -'!C18)</f>
      </c>
      <c r="H18" s="361">
        <v>0</v>
      </c>
      <c r="I18" s="279">
        <f>H18/'- 3 -'!D18</f>
        <v>0</v>
      </c>
      <c r="J18" s="361">
        <f>IF('- 6 -'!D18=0,"",H18/'- 6 -'!D18)</f>
      </c>
    </row>
    <row r="19" spans="1:10" ht="13.5" customHeight="1">
      <c r="A19" s="387" t="s">
        <v>334</v>
      </c>
      <c r="B19" s="362">
        <v>9967786</v>
      </c>
      <c r="C19" s="278">
        <f>B19/'- 3 -'!D19</f>
        <v>0.5637687756339876</v>
      </c>
      <c r="D19" s="362">
        <f>B19/'- 6 -'!B19</f>
        <v>3595.1042342927217</v>
      </c>
      <c r="E19" s="362">
        <v>0</v>
      </c>
      <c r="F19" s="278">
        <f>E19/'- 3 -'!D19</f>
        <v>0</v>
      </c>
      <c r="G19" s="362">
        <f>IF('- 6 -'!C19=0,"",E19/'- 6 -'!C19)</f>
      </c>
      <c r="H19" s="362">
        <v>0</v>
      </c>
      <c r="I19" s="278">
        <f>H19/'- 3 -'!D19</f>
        <v>0</v>
      </c>
      <c r="J19" s="362">
        <f>IF('- 6 -'!D19=0,"",H19/'- 6 -'!D19)</f>
      </c>
    </row>
    <row r="20" spans="1:10" ht="13.5" customHeight="1">
      <c r="A20" s="388" t="s">
        <v>335</v>
      </c>
      <c r="B20" s="361">
        <v>18408932</v>
      </c>
      <c r="C20" s="279">
        <f>B20/'- 3 -'!D20</f>
        <v>0.5505461818708172</v>
      </c>
      <c r="D20" s="361">
        <f>B20/'- 6 -'!B20</f>
        <v>3159.192737382231</v>
      </c>
      <c r="E20" s="361">
        <v>0</v>
      </c>
      <c r="F20" s="279">
        <f>E20/'- 3 -'!D20</f>
        <v>0</v>
      </c>
      <c r="G20" s="361">
        <f>IF('- 6 -'!C20=0,"",E20/'- 6 -'!C20)</f>
      </c>
      <c r="H20" s="361">
        <v>0</v>
      </c>
      <c r="I20" s="279">
        <f>H20/'- 3 -'!D20</f>
        <v>0</v>
      </c>
      <c r="J20" s="361">
        <f>IF('- 6 -'!D20=0,"",H20/'- 6 -'!D20)</f>
      </c>
    </row>
    <row r="21" spans="1:10" ht="13.5" customHeight="1">
      <c r="A21" s="387" t="s">
        <v>336</v>
      </c>
      <c r="B21" s="362">
        <v>11904312</v>
      </c>
      <c r="C21" s="278">
        <f>B21/'- 3 -'!D21</f>
        <v>0.5117190653428002</v>
      </c>
      <c r="D21" s="362">
        <f>B21/'- 6 -'!B21</f>
        <v>3618.9919134188603</v>
      </c>
      <c r="E21" s="362">
        <v>0</v>
      </c>
      <c r="F21" s="278">
        <f>E21/'- 3 -'!D21</f>
        <v>0</v>
      </c>
      <c r="G21" s="362">
        <f>IF('- 6 -'!C21=0,"",E21/'- 6 -'!C21)</f>
      </c>
      <c r="H21" s="362">
        <v>0</v>
      </c>
      <c r="I21" s="278">
        <f>H21/'- 3 -'!D21</f>
        <v>0</v>
      </c>
      <c r="J21" s="362">
        <f>IF('- 6 -'!D21=0,"",H21/'- 6 -'!D21)</f>
      </c>
    </row>
    <row r="22" spans="1:10" ht="13.5" customHeight="1">
      <c r="A22" s="388" t="s">
        <v>337</v>
      </c>
      <c r="B22" s="361">
        <v>4164599</v>
      </c>
      <c r="C22" s="279">
        <f>B22/'- 3 -'!D22</f>
        <v>0.325292586481288</v>
      </c>
      <c r="D22" s="361">
        <f>B22/'- 6 -'!B22</f>
        <v>3731.7195340501794</v>
      </c>
      <c r="E22" s="361">
        <v>0</v>
      </c>
      <c r="F22" s="279">
        <f>E22/'- 3 -'!D22</f>
        <v>0</v>
      </c>
      <c r="G22" s="361">
        <f>IF('- 6 -'!C22=0,"",E22/'- 6 -'!C22)</f>
      </c>
      <c r="H22" s="361">
        <v>0</v>
      </c>
      <c r="I22" s="279">
        <f>H22/'- 3 -'!D22</f>
        <v>0</v>
      </c>
      <c r="J22" s="361">
        <f>IF('- 6 -'!D22=0,"",H22/'- 6 -'!D22)</f>
      </c>
    </row>
    <row r="23" spans="1:10" ht="13.5" customHeight="1">
      <c r="A23" s="387" t="s">
        <v>338</v>
      </c>
      <c r="B23" s="362">
        <v>5144972</v>
      </c>
      <c r="C23" s="278">
        <f>B23/'- 3 -'!D23</f>
        <v>0.4806224042629057</v>
      </c>
      <c r="D23" s="362">
        <f>B23/'- 6 -'!B23</f>
        <v>3862.3016290068317</v>
      </c>
      <c r="E23" s="362">
        <v>0</v>
      </c>
      <c r="F23" s="278">
        <f>E23/'- 3 -'!D23</f>
        <v>0</v>
      </c>
      <c r="G23" s="362">
        <f>IF('- 6 -'!C23=0,"",E23/'- 6 -'!C23)</f>
      </c>
      <c r="H23" s="362">
        <v>0</v>
      </c>
      <c r="I23" s="278">
        <f>H23/'- 3 -'!D23</f>
        <v>0</v>
      </c>
      <c r="J23" s="362">
        <f>IF('- 6 -'!D23=0,"",H23/'- 6 -'!D23)</f>
      </c>
    </row>
    <row r="24" spans="1:10" ht="13.5" customHeight="1">
      <c r="A24" s="388" t="s">
        <v>339</v>
      </c>
      <c r="B24" s="361">
        <v>11975533</v>
      </c>
      <c r="C24" s="279">
        <f>B24/'- 3 -'!D24</f>
        <v>0.3591649632530568</v>
      </c>
      <c r="D24" s="361">
        <f>B24/'- 6 -'!B24</f>
        <v>3942.9517318582907</v>
      </c>
      <c r="E24" s="361">
        <v>0</v>
      </c>
      <c r="F24" s="279">
        <f>E24/'- 3 -'!D24</f>
        <v>0</v>
      </c>
      <c r="G24" s="361">
        <f>IF('- 6 -'!C24=0,"",E24/'- 6 -'!C24)</f>
      </c>
      <c r="H24" s="361">
        <v>709395</v>
      </c>
      <c r="I24" s="279">
        <f>H24/'- 3 -'!D24</f>
        <v>0.021275865475624527</v>
      </c>
      <c r="J24" s="361">
        <f>IF('- 6 -'!D24=0,"",H24/'- 6 -'!D24)</f>
        <v>3897.7747252747254</v>
      </c>
    </row>
    <row r="25" spans="1:10" ht="13.5" customHeight="1">
      <c r="A25" s="387" t="s">
        <v>340</v>
      </c>
      <c r="B25" s="362">
        <v>40470802</v>
      </c>
      <c r="C25" s="278">
        <f>B25/'- 3 -'!D25</f>
        <v>0.3911100429163977</v>
      </c>
      <c r="D25" s="362">
        <f>B25/'- 6 -'!B25</f>
        <v>3737.1922210320245</v>
      </c>
      <c r="E25" s="362">
        <v>1364306</v>
      </c>
      <c r="F25" s="278">
        <f>E25/'- 3 -'!D25</f>
        <v>0.013184660343797953</v>
      </c>
      <c r="G25" s="362">
        <f>IF('- 6 -'!C25=0,"",E25/'- 6 -'!C25)</f>
        <v>3638.1493333333333</v>
      </c>
      <c r="H25" s="362">
        <v>11665100</v>
      </c>
      <c r="I25" s="278">
        <f>H25/'- 3 -'!D25</f>
        <v>0.11273158761776134</v>
      </c>
      <c r="J25" s="362">
        <f>IF('- 6 -'!D25=0,"",H25/'- 6 -'!D25)</f>
        <v>3516.2321024868124</v>
      </c>
    </row>
    <row r="26" spans="1:10" ht="13.5" customHeight="1">
      <c r="A26" s="388" t="s">
        <v>341</v>
      </c>
      <c r="B26" s="361">
        <v>10471379.77</v>
      </c>
      <c r="C26" s="279">
        <f>B26/'- 3 -'!D26</f>
        <v>0.405610311381313</v>
      </c>
      <c r="D26" s="361">
        <f>B26/'- 6 -'!B26</f>
        <v>3859.7050387025433</v>
      </c>
      <c r="E26" s="361">
        <v>0</v>
      </c>
      <c r="F26" s="279">
        <f>E26/'- 3 -'!D26</f>
        <v>0</v>
      </c>
      <c r="G26" s="361">
        <f>IF('- 6 -'!C26=0,"",E26/'- 6 -'!C26)</f>
      </c>
      <c r="H26" s="361">
        <v>371330.81</v>
      </c>
      <c r="I26" s="279">
        <f>H26/'- 3 -'!D26</f>
        <v>0.01438354913848905</v>
      </c>
      <c r="J26" s="361">
        <f>IF('- 6 -'!D26=0,"",H26/'- 6 -'!D26)</f>
        <v>3470.3814018691587</v>
      </c>
    </row>
    <row r="27" spans="1:10" ht="13.5" customHeight="1">
      <c r="A27" s="387" t="s">
        <v>342</v>
      </c>
      <c r="B27" s="362">
        <v>11500449</v>
      </c>
      <c r="C27" s="278">
        <f>B27/'- 3 -'!D27</f>
        <v>0.4476566033368889</v>
      </c>
      <c r="D27" s="362">
        <f>B27/'- 6 -'!B27</f>
        <v>4320.066488862177</v>
      </c>
      <c r="E27" s="362">
        <v>0</v>
      </c>
      <c r="F27" s="278">
        <f>E27/'- 3 -'!D27</f>
        <v>0</v>
      </c>
      <c r="G27" s="362">
        <f>IF('- 6 -'!C27=0,"",E27/'- 6 -'!C27)</f>
      </c>
      <c r="H27" s="362">
        <v>0</v>
      </c>
      <c r="I27" s="278">
        <f>H27/'- 3 -'!D27</f>
        <v>0</v>
      </c>
      <c r="J27" s="362">
        <f>IF('- 6 -'!D27=0,"",H27/'- 6 -'!D27)</f>
      </c>
    </row>
    <row r="28" spans="1:10" ht="13.5" customHeight="1">
      <c r="A28" s="388" t="s">
        <v>343</v>
      </c>
      <c r="B28" s="361">
        <v>8182421</v>
      </c>
      <c r="C28" s="279">
        <f>B28/'- 3 -'!D28</f>
        <v>0.5084486867841975</v>
      </c>
      <c r="D28" s="361">
        <f>B28/'- 6 -'!B28</f>
        <v>3903.6405705834645</v>
      </c>
      <c r="E28" s="361">
        <v>0</v>
      </c>
      <c r="F28" s="279">
        <f>E28/'- 3 -'!D28</f>
        <v>0</v>
      </c>
      <c r="G28" s="361">
        <f>IF('- 6 -'!C28=0,"",E28/'- 6 -'!C28)</f>
      </c>
      <c r="H28" s="361">
        <v>0</v>
      </c>
      <c r="I28" s="279">
        <f>H28/'- 3 -'!D28</f>
        <v>0</v>
      </c>
      <c r="J28" s="361">
        <f>IF('- 6 -'!D28=0,"",H28/'- 6 -'!D28)</f>
      </c>
    </row>
    <row r="29" spans="1:10" ht="13.5" customHeight="1">
      <c r="A29" s="387" t="s">
        <v>344</v>
      </c>
      <c r="B29" s="362">
        <v>36273887</v>
      </c>
      <c r="C29" s="278">
        <f>B29/'- 3 -'!D29</f>
        <v>0.37167479053318386</v>
      </c>
      <c r="D29" s="362">
        <f>B29/'- 6 -'!B29</f>
        <v>4132.881427383245</v>
      </c>
      <c r="E29" s="362">
        <v>0</v>
      </c>
      <c r="F29" s="278">
        <f>E29/'- 3 -'!D29</f>
        <v>0</v>
      </c>
      <c r="G29" s="362">
        <f>IF('- 6 -'!C29=0,"",E29/'- 6 -'!C29)</f>
      </c>
      <c r="H29" s="362">
        <v>4959281</v>
      </c>
      <c r="I29" s="278">
        <f>H29/'- 3 -'!D29</f>
        <v>0.0508145081576231</v>
      </c>
      <c r="J29" s="362">
        <f>IF('- 6 -'!D29=0,"",H29/'- 6 -'!D29)</f>
        <v>4038.5024429967425</v>
      </c>
    </row>
    <row r="30" spans="1:10" ht="13.5" customHeight="1">
      <c r="A30" s="388" t="s">
        <v>345</v>
      </c>
      <c r="B30" s="361">
        <v>5083015</v>
      </c>
      <c r="C30" s="279">
        <f>B30/'- 3 -'!D30</f>
        <v>0.5275601902573839</v>
      </c>
      <c r="D30" s="361">
        <f>B30/'- 6 -'!B30</f>
        <v>3963.0555122407613</v>
      </c>
      <c r="E30" s="361">
        <v>0</v>
      </c>
      <c r="F30" s="279">
        <f>E30/'- 3 -'!D30</f>
        <v>0</v>
      </c>
      <c r="G30" s="361">
        <f>IF('- 6 -'!C30=0,"",E30/'- 6 -'!C30)</f>
      </c>
      <c r="H30" s="361">
        <v>0</v>
      </c>
      <c r="I30" s="279">
        <f>H30/'- 3 -'!D30</f>
        <v>0</v>
      </c>
      <c r="J30" s="361">
        <f>IF('- 6 -'!D30=0,"",H30/'- 6 -'!D30)</f>
      </c>
    </row>
    <row r="31" spans="1:10" ht="13.5" customHeight="1">
      <c r="A31" s="387" t="s">
        <v>346</v>
      </c>
      <c r="B31" s="362">
        <v>10945570</v>
      </c>
      <c r="C31" s="278">
        <f>B31/'- 3 -'!D31</f>
        <v>0.4486783391018325</v>
      </c>
      <c r="D31" s="362">
        <f>B31/'- 6 -'!B31</f>
        <v>3959.617262959881</v>
      </c>
      <c r="E31" s="362">
        <v>0</v>
      </c>
      <c r="F31" s="278">
        <f>E31/'- 3 -'!D31</f>
        <v>0</v>
      </c>
      <c r="G31" s="362">
        <f>IF('- 6 -'!C31=0,"",E31/'- 6 -'!C31)</f>
      </c>
      <c r="H31" s="362">
        <v>0</v>
      </c>
      <c r="I31" s="278">
        <f>H31/'- 3 -'!D31</f>
        <v>0</v>
      </c>
      <c r="J31" s="362">
        <f>IF('- 6 -'!D31=0,"",H31/'- 6 -'!D31)</f>
      </c>
    </row>
    <row r="32" spans="1:10" ht="13.5" customHeight="1">
      <c r="A32" s="388" t="s">
        <v>347</v>
      </c>
      <c r="B32" s="361">
        <v>7772159</v>
      </c>
      <c r="C32" s="279">
        <f>B32/'- 3 -'!D32</f>
        <v>0.42756022578590913</v>
      </c>
      <c r="D32" s="361">
        <f>B32/'- 6 -'!B32</f>
        <v>4247.081420765027</v>
      </c>
      <c r="E32" s="361">
        <v>0</v>
      </c>
      <c r="F32" s="279">
        <f>E32/'- 3 -'!D32</f>
        <v>0</v>
      </c>
      <c r="G32" s="361">
        <f>IF('- 6 -'!C32=0,"",E32/'- 6 -'!C32)</f>
      </c>
      <c r="H32" s="361">
        <v>460911</v>
      </c>
      <c r="I32" s="279">
        <f>H32/'- 3 -'!D32</f>
        <v>0.025355530069213608</v>
      </c>
      <c r="J32" s="361">
        <f>IF('- 6 -'!D32=0,"",H32/'- 6 -'!D32)</f>
        <v>4348.2169811320755</v>
      </c>
    </row>
    <row r="33" spans="1:10" ht="13.5" customHeight="1">
      <c r="A33" s="387" t="s">
        <v>348</v>
      </c>
      <c r="B33" s="362">
        <v>9524550</v>
      </c>
      <c r="C33" s="278">
        <f>B33/'- 3 -'!D33</f>
        <v>0.4393872313712117</v>
      </c>
      <c r="D33" s="362">
        <f>B33/'- 6 -'!B33</f>
        <v>4665.466568699486</v>
      </c>
      <c r="E33" s="362">
        <v>0</v>
      </c>
      <c r="F33" s="278">
        <f>E33/'- 3 -'!D33</f>
        <v>0</v>
      </c>
      <c r="G33" s="362">
        <f>IF('- 6 -'!C33=0,"",E33/'- 6 -'!C33)</f>
      </c>
      <c r="H33" s="362">
        <v>254358</v>
      </c>
      <c r="I33" s="278">
        <f>H33/'- 3 -'!D33</f>
        <v>0.011734061703400021</v>
      </c>
      <c r="J33" s="362">
        <f>IF('- 6 -'!D33=0,"",H33/'- 6 -'!D33)</f>
        <v>4005.6377952755906</v>
      </c>
    </row>
    <row r="34" spans="1:10" ht="13.5" customHeight="1">
      <c r="A34" s="388" t="s">
        <v>349</v>
      </c>
      <c r="B34" s="361">
        <v>6638902</v>
      </c>
      <c r="C34" s="279">
        <f>B34/'- 3 -'!D34</f>
        <v>0.4040163869810228</v>
      </c>
      <c r="D34" s="361">
        <f>B34/'- 6 -'!B34</f>
        <v>3658.805180490493</v>
      </c>
      <c r="E34" s="361">
        <v>649984</v>
      </c>
      <c r="F34" s="279">
        <f>E34/'- 3 -'!D34</f>
        <v>0.03955536431709237</v>
      </c>
      <c r="G34" s="361">
        <f>IF('- 6 -'!C34=0,"",E34/'- 6 -'!C34)</f>
        <v>4513.777777777777</v>
      </c>
      <c r="H34" s="361">
        <v>954488</v>
      </c>
      <c r="I34" s="279">
        <f>H34/'- 3 -'!D34</f>
        <v>0.058086230701513974</v>
      </c>
      <c r="J34" s="361">
        <f>IF('- 6 -'!D34=0,"",H34/'- 6 -'!D34)</f>
        <v>4307.256317689531</v>
      </c>
    </row>
    <row r="35" spans="1:10" ht="13.5" customHeight="1">
      <c r="A35" s="387" t="s">
        <v>350</v>
      </c>
      <c r="B35" s="362">
        <v>41464248</v>
      </c>
      <c r="C35" s="278">
        <f>B35/'- 3 -'!D35</f>
        <v>0.33883169122621976</v>
      </c>
      <c r="D35" s="362">
        <f>B35/'- 6 -'!B35</f>
        <v>3641.7189681975074</v>
      </c>
      <c r="E35" s="362">
        <v>0</v>
      </c>
      <c r="F35" s="278">
        <f>E35/'- 3 -'!D35</f>
        <v>0</v>
      </c>
      <c r="G35" s="362">
        <f>IF('- 6 -'!C35=0,"",E35/'- 6 -'!C35)</f>
      </c>
      <c r="H35" s="362">
        <v>3440759</v>
      </c>
      <c r="I35" s="278">
        <f>H35/'- 3 -'!D35</f>
        <v>0.028116708907197273</v>
      </c>
      <c r="J35" s="362">
        <f>IF('- 6 -'!D35=0,"",H35/'- 6 -'!D35)</f>
        <v>3235.3164080865067</v>
      </c>
    </row>
    <row r="36" spans="1:10" ht="13.5" customHeight="1">
      <c r="A36" s="388" t="s">
        <v>351</v>
      </c>
      <c r="B36" s="361">
        <v>8902611</v>
      </c>
      <c r="C36" s="279">
        <f>B36/'- 3 -'!D36</f>
        <v>0.5591482963383073</v>
      </c>
      <c r="D36" s="361">
        <f>B36/'- 6 -'!B36</f>
        <v>4231.48010837017</v>
      </c>
      <c r="E36" s="361">
        <v>0</v>
      </c>
      <c r="F36" s="279">
        <f>E36/'- 3 -'!D36</f>
        <v>0</v>
      </c>
      <c r="G36" s="361">
        <f>IF('- 6 -'!C36=0,"",E36/'- 6 -'!C36)</f>
      </c>
      <c r="H36" s="361">
        <v>0</v>
      </c>
      <c r="I36" s="279">
        <f>H36/'- 3 -'!D36</f>
        <v>0</v>
      </c>
      <c r="J36" s="361">
        <f>IF('- 6 -'!D36=0,"",H36/'- 6 -'!D36)</f>
      </c>
    </row>
    <row r="37" spans="1:10" ht="13.5" customHeight="1">
      <c r="A37" s="387" t="s">
        <v>352</v>
      </c>
      <c r="B37" s="362">
        <v>5303443</v>
      </c>
      <c r="C37" s="278">
        <f>B37/'- 3 -'!D37</f>
        <v>0.22673851007833262</v>
      </c>
      <c r="D37" s="362">
        <f>B37/'- 6 -'!B37</f>
        <v>3408.382390745501</v>
      </c>
      <c r="E37" s="362">
        <v>0</v>
      </c>
      <c r="F37" s="278">
        <f>E37/'- 3 -'!D37</f>
        <v>0</v>
      </c>
      <c r="G37" s="362">
        <f>IF('- 6 -'!C37=0,"",E37/'- 6 -'!C37)</f>
      </c>
      <c r="H37" s="362">
        <v>2191456</v>
      </c>
      <c r="I37" s="278">
        <f>H37/'- 3 -'!D37</f>
        <v>0.09369148840521573</v>
      </c>
      <c r="J37" s="362">
        <f>IF('- 6 -'!D37=0,"",H37/'- 6 -'!D37)</f>
        <v>3652.4266666666667</v>
      </c>
    </row>
    <row r="38" spans="1:10" ht="13.5" customHeight="1">
      <c r="A38" s="388" t="s">
        <v>353</v>
      </c>
      <c r="B38" s="361">
        <v>17476627.4</v>
      </c>
      <c r="C38" s="279">
        <f>B38/'- 3 -'!D38</f>
        <v>0.2839854727198061</v>
      </c>
      <c r="D38" s="361">
        <f>B38/'- 6 -'!B38</f>
        <v>3855.4218839620557</v>
      </c>
      <c r="E38" s="361">
        <v>0</v>
      </c>
      <c r="F38" s="279">
        <f>E38/'- 3 -'!D38</f>
        <v>0</v>
      </c>
      <c r="G38" s="361">
        <f>IF('- 6 -'!C38=0,"",E38/'- 6 -'!C38)</f>
      </c>
      <c r="H38" s="361">
        <v>758339</v>
      </c>
      <c r="I38" s="279">
        <f>H38/'- 3 -'!D38</f>
        <v>0.012322586873761757</v>
      </c>
      <c r="J38" s="361">
        <f>IF('- 6 -'!D38=0,"",H38/'- 6 -'!D38)</f>
        <v>3839.6911392405063</v>
      </c>
    </row>
    <row r="39" spans="1:10" ht="13.5" customHeight="1">
      <c r="A39" s="387" t="s">
        <v>354</v>
      </c>
      <c r="B39" s="362">
        <v>7837436.77</v>
      </c>
      <c r="C39" s="278">
        <f>B39/'- 3 -'!D39</f>
        <v>0.53383796334581</v>
      </c>
      <c r="D39" s="362">
        <f>B39/'- 6 -'!B39</f>
        <v>4332.469192924267</v>
      </c>
      <c r="E39" s="362">
        <v>0</v>
      </c>
      <c r="F39" s="278">
        <f>E39/'- 3 -'!D39</f>
        <v>0</v>
      </c>
      <c r="G39" s="362">
        <f>IF('- 6 -'!C39=0,"",E39/'- 6 -'!C39)</f>
      </c>
      <c r="H39" s="362">
        <v>0</v>
      </c>
      <c r="I39" s="278">
        <f>H39/'- 3 -'!D39</f>
        <v>0</v>
      </c>
      <c r="J39" s="362">
        <f>IF('- 6 -'!D39=0,"",H39/'- 6 -'!D39)</f>
      </c>
    </row>
    <row r="40" spans="1:10" ht="13.5" customHeight="1">
      <c r="A40" s="388" t="s">
        <v>355</v>
      </c>
      <c r="B40" s="361">
        <v>25868139</v>
      </c>
      <c r="C40" s="279">
        <f>B40/'- 3 -'!D40</f>
        <v>0.4167497205344685</v>
      </c>
      <c r="D40" s="361">
        <f>B40/'- 6 -'!B40</f>
        <v>4215.4549010022</v>
      </c>
      <c r="E40" s="361">
        <v>0</v>
      </c>
      <c r="F40" s="279">
        <f>E40/'- 3 -'!D40</f>
        <v>0</v>
      </c>
      <c r="G40" s="361">
        <f>IF('- 6 -'!C40=0,"",E40/'- 6 -'!C40)</f>
      </c>
      <c r="H40" s="361">
        <v>2974590</v>
      </c>
      <c r="I40" s="279">
        <f>H40/'- 3 -'!D40</f>
        <v>0.04792225490997341</v>
      </c>
      <c r="J40" s="361">
        <f>IF('- 6 -'!D40=0,"",H40/'- 6 -'!D40)</f>
        <v>4074.780821917808</v>
      </c>
    </row>
    <row r="41" spans="1:10" ht="13.5" customHeight="1">
      <c r="A41" s="387" t="s">
        <v>356</v>
      </c>
      <c r="B41" s="362">
        <v>13642668</v>
      </c>
      <c r="C41" s="278">
        <f>B41/'- 3 -'!D41</f>
        <v>0.36323836090658174</v>
      </c>
      <c r="D41" s="362">
        <f>B41/'- 6 -'!B41</f>
        <v>4347.152279896759</v>
      </c>
      <c r="E41" s="362">
        <v>0</v>
      </c>
      <c r="F41" s="278">
        <f>E41/'- 3 -'!D41</f>
        <v>0</v>
      </c>
      <c r="G41" s="362">
        <f>IF('- 6 -'!C41=0,"",E41/'- 6 -'!C41)</f>
      </c>
      <c r="H41" s="362">
        <v>0</v>
      </c>
      <c r="I41" s="278">
        <f>H41/'- 3 -'!D41</f>
        <v>0</v>
      </c>
      <c r="J41" s="362">
        <f>IF('- 6 -'!D41=0,"",H41/'- 6 -'!D41)</f>
      </c>
    </row>
    <row r="42" spans="1:10" ht="13.5" customHeight="1">
      <c r="A42" s="388" t="s">
        <v>357</v>
      </c>
      <c r="B42" s="361">
        <v>5988973</v>
      </c>
      <c r="C42" s="279">
        <f>B42/'- 3 -'!D42</f>
        <v>0.41189499511968597</v>
      </c>
      <c r="D42" s="361">
        <f>B42/'- 6 -'!B42</f>
        <v>4162.477759243814</v>
      </c>
      <c r="E42" s="361">
        <v>0</v>
      </c>
      <c r="F42" s="279">
        <f>E42/'- 3 -'!D42</f>
        <v>0</v>
      </c>
      <c r="G42" s="361">
        <f>IF('- 6 -'!C42=0,"",E42/'- 6 -'!C42)</f>
      </c>
      <c r="H42" s="361">
        <v>0</v>
      </c>
      <c r="I42" s="279">
        <f>H42/'- 3 -'!D42</f>
        <v>0</v>
      </c>
      <c r="J42" s="361">
        <f>IF('- 6 -'!D42=0,"",H42/'- 6 -'!D42)</f>
      </c>
    </row>
    <row r="43" spans="1:10" ht="13.5" customHeight="1">
      <c r="A43" s="387" t="s">
        <v>358</v>
      </c>
      <c r="B43" s="362">
        <v>4619731</v>
      </c>
      <c r="C43" s="278">
        <f>B43/'- 3 -'!D43</f>
        <v>0.5068522848794197</v>
      </c>
      <c r="D43" s="362">
        <f>B43/'- 6 -'!B43</f>
        <v>3789.7711238720262</v>
      </c>
      <c r="E43" s="362">
        <v>0</v>
      </c>
      <c r="F43" s="278">
        <f>E43/'- 3 -'!D43</f>
        <v>0</v>
      </c>
      <c r="G43" s="362">
        <f>IF('- 6 -'!C43=0,"",E43/'- 6 -'!C43)</f>
      </c>
      <c r="H43" s="362">
        <v>0</v>
      </c>
      <c r="I43" s="278">
        <f>H43/'- 3 -'!D43</f>
        <v>0</v>
      </c>
      <c r="J43" s="362">
        <f>IF('- 6 -'!D43=0,"",H43/'- 6 -'!D43)</f>
      </c>
    </row>
    <row r="44" spans="1:10" ht="13.5" customHeight="1">
      <c r="A44" s="388" t="s">
        <v>359</v>
      </c>
      <c r="B44" s="361">
        <v>3184827</v>
      </c>
      <c r="C44" s="279">
        <f>B44/'- 3 -'!D44</f>
        <v>0.4865833048321606</v>
      </c>
      <c r="D44" s="361">
        <f>B44/'- 6 -'!B44</f>
        <v>4128.097213220998</v>
      </c>
      <c r="E44" s="361">
        <v>185111</v>
      </c>
      <c r="F44" s="279">
        <f>E44/'- 3 -'!D44</f>
        <v>0.028281574522191027</v>
      </c>
      <c r="G44" s="361">
        <f>IF('- 6 -'!C44=0,"",E44/'- 6 -'!C44)</f>
        <v>3938.531914893617</v>
      </c>
      <c r="H44" s="361">
        <v>0</v>
      </c>
      <c r="I44" s="279">
        <f>H44/'- 3 -'!D44</f>
        <v>0</v>
      </c>
      <c r="J44" s="361">
        <f>IF('- 6 -'!D44=0,"",H44/'- 6 -'!D44)</f>
      </c>
    </row>
    <row r="45" spans="1:10" ht="13.5" customHeight="1">
      <c r="A45" s="387" t="s">
        <v>360</v>
      </c>
      <c r="B45" s="362">
        <v>3445557</v>
      </c>
      <c r="C45" s="278">
        <f>B45/'- 3 -'!D45</f>
        <v>0.34843024431680286</v>
      </c>
      <c r="D45" s="362">
        <f>B45/'- 6 -'!B45</f>
        <v>3809.34991708126</v>
      </c>
      <c r="E45" s="362">
        <v>0</v>
      </c>
      <c r="F45" s="278">
        <f>E45/'- 3 -'!D45</f>
        <v>0</v>
      </c>
      <c r="G45" s="362">
        <f>IF('- 6 -'!C45=0,"",E45/'- 6 -'!C45)</f>
      </c>
      <c r="H45" s="362">
        <v>0</v>
      </c>
      <c r="I45" s="278">
        <f>H45/'- 3 -'!D45</f>
        <v>0</v>
      </c>
      <c r="J45" s="362">
        <f>IF('- 6 -'!D45=0,"",H45/'- 6 -'!D45)</f>
      </c>
    </row>
    <row r="46" spans="1:10" ht="13.5" customHeight="1">
      <c r="A46" s="388" t="s">
        <v>361</v>
      </c>
      <c r="B46" s="361">
        <v>90017707.98</v>
      </c>
      <c r="C46" s="279">
        <f>B46/'- 3 -'!D46</f>
        <v>0.3592538685048034</v>
      </c>
      <c r="D46" s="361">
        <f>B46/'- 6 -'!B46</f>
        <v>3951.455297200725</v>
      </c>
      <c r="E46" s="361">
        <v>0</v>
      </c>
      <c r="F46" s="279">
        <f>E46/'- 3 -'!D46</f>
        <v>0</v>
      </c>
      <c r="G46" s="361">
        <f>IF('- 6 -'!C46=0,"",E46/'- 6 -'!C46)</f>
      </c>
      <c r="H46" s="361">
        <v>3303296</v>
      </c>
      <c r="I46" s="279">
        <f>H46/'- 3 -'!D46</f>
        <v>0.013183204654356531</v>
      </c>
      <c r="J46" s="361">
        <f>IF('- 6 -'!D46=0,"",H46/'- 6 -'!D46)</f>
        <v>3944.234029850746</v>
      </c>
    </row>
    <row r="47" spans="1:10" ht="13.5" customHeight="1">
      <c r="A47" s="387" t="s">
        <v>365</v>
      </c>
      <c r="B47" s="362">
        <v>148425</v>
      </c>
      <c r="C47" s="278">
        <f>B47/'- 3 -'!D47</f>
        <v>0.026684388540518113</v>
      </c>
      <c r="D47" s="362">
        <f>B47/'- 6 -'!B47</f>
        <v>4967.369477911647</v>
      </c>
      <c r="E47" s="362">
        <v>0</v>
      </c>
      <c r="F47" s="278">
        <f>E47/'- 3 -'!D47</f>
        <v>0</v>
      </c>
      <c r="G47" s="362">
        <f>IF('- 6 -'!C47=0,"",E47/'- 6 -'!C47)</f>
      </c>
      <c r="H47" s="362">
        <v>0</v>
      </c>
      <c r="I47" s="278">
        <f>H47/'- 3 -'!D47</f>
        <v>0</v>
      </c>
      <c r="J47" s="362">
        <f>IF('- 6 -'!D47=0,"",H47/'- 6 -'!D47)</f>
      </c>
    </row>
    <row r="48" spans="1:10" ht="4.5" customHeight="1">
      <c r="A48" s="389"/>
      <c r="B48" s="322"/>
      <c r="C48" s="162"/>
      <c r="D48" s="322"/>
      <c r="E48" s="322"/>
      <c r="F48" s="162"/>
      <c r="G48" s="322"/>
      <c r="H48" s="322"/>
      <c r="I48" s="162"/>
      <c r="J48" s="322"/>
    </row>
    <row r="49" spans="1:10" ht="13.5" customHeight="1">
      <c r="A49" s="383" t="s">
        <v>362</v>
      </c>
      <c r="B49" s="363">
        <f>SUM(B11:B47)</f>
        <v>517053112.91999996</v>
      </c>
      <c r="C49" s="81">
        <f>B49/'- 3 -'!D49</f>
        <v>0.3837135363780998</v>
      </c>
      <c r="D49" s="363">
        <f>B49/'- 6 -'!B49</f>
        <v>3929.614629676046</v>
      </c>
      <c r="E49" s="363">
        <f>SUM(E11:E47)</f>
        <v>21435686</v>
      </c>
      <c r="F49" s="81">
        <f>E49/'- 3 -'!D49</f>
        <v>0.015907771705115228</v>
      </c>
      <c r="G49" s="363">
        <f>E49/'- 6 -'!C49</f>
        <v>4478.176196544592</v>
      </c>
      <c r="H49" s="363">
        <f>SUM(H11:H47)</f>
        <v>32229616.810000002</v>
      </c>
      <c r="I49" s="81">
        <f>H49/'- 3 -'!D49</f>
        <v>0.023918123560721323</v>
      </c>
      <c r="J49" s="363">
        <f>H49/'- 6 -'!D49</f>
        <v>3708.7739853396397</v>
      </c>
    </row>
    <row r="50" spans="1:10" ht="4.5" customHeight="1">
      <c r="A50" s="389" t="s">
        <v>15</v>
      </c>
      <c r="B50" s="322"/>
      <c r="C50" s="162"/>
      <c r="D50" s="322"/>
      <c r="E50" s="322"/>
      <c r="F50" s="162"/>
      <c r="G50" s="9"/>
      <c r="H50" s="322"/>
      <c r="I50" s="162"/>
      <c r="J50" s="322"/>
    </row>
    <row r="51" spans="1:10" ht="13.5" customHeight="1">
      <c r="A51" s="388" t="s">
        <v>363</v>
      </c>
      <c r="B51" s="361">
        <v>821942</v>
      </c>
      <c r="C51" s="279">
        <f>B51/'- 3 -'!D51</f>
        <v>0.6505876281478948</v>
      </c>
      <c r="D51" s="361">
        <f>B51/'- 6 -'!B51</f>
        <v>5372.169934640523</v>
      </c>
      <c r="E51" s="361">
        <v>0</v>
      </c>
      <c r="F51" s="279">
        <f>E51/'- 3 -'!D51</f>
        <v>0</v>
      </c>
      <c r="G51" s="8">
        <f>IF('- 6 -'!C51=0,"",E51/'- 6 -'!C51)</f>
      </c>
      <c r="H51" s="361">
        <v>0</v>
      </c>
      <c r="I51" s="279">
        <f>H51/'- 3 -'!D51</f>
        <v>0</v>
      </c>
      <c r="J51" s="361">
        <f>IF('- 6 -'!D51=0,"",H51/'- 6 -'!D51)</f>
      </c>
    </row>
    <row r="52" spans="1:10" ht="13.5" customHeight="1">
      <c r="A52" s="387" t="s">
        <v>364</v>
      </c>
      <c r="B52" s="362">
        <v>1328742</v>
      </c>
      <c r="C52" s="278">
        <f>B52/'- 3 -'!D52</f>
        <v>0.5572275628323727</v>
      </c>
      <c r="D52" s="362">
        <f>B52/'- 6 -'!B52</f>
        <v>4867.186813186813</v>
      </c>
      <c r="E52" s="362">
        <v>0</v>
      </c>
      <c r="F52" s="278">
        <f>E52/'- 3 -'!D52</f>
        <v>0</v>
      </c>
      <c r="G52" s="7">
        <f>IF('- 6 -'!C52=0,"",E52/'- 6 -'!C52)</f>
      </c>
      <c r="H52" s="362">
        <v>0</v>
      </c>
      <c r="I52" s="278">
        <f>H52/'- 3 -'!D52</f>
        <v>0</v>
      </c>
      <c r="J52" s="362">
        <f>IF('- 6 -'!D52=0,"",H52/'- 6 -'!D52)</f>
      </c>
    </row>
    <row r="53" spans="1:10" ht="49.5" customHeight="1">
      <c r="A53" s="324"/>
      <c r="B53" s="324"/>
      <c r="C53" s="324"/>
      <c r="D53" s="324"/>
      <c r="E53" s="324"/>
      <c r="F53" s="324"/>
      <c r="G53" s="324"/>
      <c r="H53" s="335"/>
      <c r="I53" s="335"/>
      <c r="J53" s="335"/>
    </row>
    <row r="54" spans="1:10" ht="15" customHeight="1">
      <c r="A54" s="83" t="s">
        <v>437</v>
      </c>
      <c r="B54" s="42"/>
      <c r="C54" s="42"/>
      <c r="D54" s="42"/>
      <c r="E54" s="42"/>
      <c r="F54" s="42"/>
      <c r="G54" s="42"/>
      <c r="H54" s="9"/>
      <c r="I54" s="74"/>
      <c r="J54" s="74"/>
    </row>
    <row r="55" spans="1:7" ht="12" customHeight="1">
      <c r="A55" s="3"/>
      <c r="B55" s="3"/>
      <c r="C55" s="3"/>
      <c r="D55" s="3"/>
      <c r="E55" s="3"/>
      <c r="F55" s="3"/>
      <c r="G55" s="3"/>
    </row>
    <row r="56" spans="1:7" ht="12" customHeight="1">
      <c r="A56" s="229"/>
      <c r="B56" s="3"/>
      <c r="C56" s="3"/>
      <c r="D56" s="3"/>
      <c r="E56" s="3"/>
      <c r="F56" s="3"/>
      <c r="G56" s="3"/>
    </row>
    <row r="57" spans="1:7" ht="12" customHeight="1">
      <c r="A57" s="3"/>
      <c r="B57" s="3"/>
      <c r="C57" s="3"/>
      <c r="D57" s="3"/>
      <c r="E57" s="3"/>
      <c r="F57" s="3"/>
      <c r="G57" s="3"/>
    </row>
    <row r="58" spans="1:7" ht="12" customHeight="1">
      <c r="A58" s="3"/>
      <c r="B58" s="3"/>
      <c r="C58" s="3"/>
      <c r="D58" s="3"/>
      <c r="E58" s="3"/>
      <c r="F58" s="3"/>
      <c r="G58" s="3"/>
    </row>
    <row r="59" ht="12" customHeight="1"/>
    <row r="60" ht="12" customHeight="1"/>
    <row r="61" ht="12" customHeight="1">
      <c r="A61" s="229"/>
    </row>
    <row r="62" ht="12" customHeight="1">
      <c r="A62" s="229"/>
    </row>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60"/>
  <sheetViews>
    <sheetView showGridLines="0" showZeros="0" workbookViewId="0" topLeftCell="A1">
      <selection activeCell="A1" sqref="A1"/>
    </sheetView>
  </sheetViews>
  <sheetFormatPr defaultColWidth="15.83203125" defaultRowHeight="12"/>
  <cols>
    <col min="1" max="1" width="32.83203125" style="67" customWidth="1"/>
    <col min="2" max="2" width="15.83203125" style="67" customWidth="1"/>
    <col min="3" max="3" width="7.83203125" style="67" customWidth="1"/>
    <col min="4" max="4" width="9.83203125" style="67" customWidth="1"/>
    <col min="5" max="5" width="10.83203125" style="67" customWidth="1"/>
    <col min="6" max="7" width="13.83203125" style="67" customWidth="1"/>
    <col min="8" max="8" width="15.83203125" style="67" customWidth="1"/>
    <col min="9" max="9" width="13.83203125" style="67" customWidth="1"/>
    <col min="10" max="16384" width="15.83203125" style="67" customWidth="1"/>
  </cols>
  <sheetData>
    <row r="1" spans="1:9" ht="6.75" customHeight="1">
      <c r="A1" s="65"/>
      <c r="B1" s="66"/>
      <c r="C1" s="66"/>
      <c r="D1" s="66"/>
      <c r="E1" s="66"/>
      <c r="F1" s="66"/>
      <c r="G1" s="66"/>
      <c r="H1" s="66"/>
      <c r="I1" s="66"/>
    </row>
    <row r="2" spans="1:9" ht="15.75" customHeight="1">
      <c r="A2" s="333"/>
      <c r="B2" s="471" t="s">
        <v>12</v>
      </c>
      <c r="C2" s="69"/>
      <c r="D2" s="69"/>
      <c r="E2" s="69"/>
      <c r="F2" s="69"/>
      <c r="G2" s="69"/>
      <c r="H2" s="204"/>
      <c r="I2" s="336" t="s">
        <v>287</v>
      </c>
    </row>
    <row r="3" spans="1:9" ht="15.75" customHeight="1">
      <c r="A3" s="334"/>
      <c r="B3" s="473" t="str">
        <f>OPYEAR</f>
        <v>OPERATING FUND 2002/2003 ACTUAL</v>
      </c>
      <c r="C3" s="71"/>
      <c r="D3" s="71"/>
      <c r="E3" s="71"/>
      <c r="F3" s="71"/>
      <c r="G3" s="71"/>
      <c r="H3" s="72"/>
      <c r="I3" s="205"/>
    </row>
    <row r="4" spans="2:9" ht="15.75" customHeight="1">
      <c r="B4" s="66"/>
      <c r="C4" s="66"/>
      <c r="D4" s="66"/>
      <c r="E4" s="66"/>
      <c r="F4" s="66"/>
      <c r="G4" s="66"/>
      <c r="H4" s="66"/>
      <c r="I4" s="66"/>
    </row>
    <row r="5" spans="2:9" ht="15.75" customHeight="1">
      <c r="B5" s="266" t="s">
        <v>227</v>
      </c>
      <c r="C5" s="206"/>
      <c r="D5" s="206"/>
      <c r="E5" s="206"/>
      <c r="F5" s="206"/>
      <c r="G5" s="206"/>
      <c r="H5" s="206"/>
      <c r="I5" s="73"/>
    </row>
    <row r="6" spans="2:9" ht="15.75" customHeight="1">
      <c r="B6" s="29" t="s">
        <v>548</v>
      </c>
      <c r="C6" s="30"/>
      <c r="D6" s="30"/>
      <c r="E6" s="30"/>
      <c r="F6" s="30"/>
      <c r="G6" s="30"/>
      <c r="H6" s="30"/>
      <c r="I6" s="31"/>
    </row>
    <row r="7" spans="2:9" ht="15.75" customHeight="1">
      <c r="B7" s="78"/>
      <c r="C7" s="40"/>
      <c r="D7" s="40"/>
      <c r="E7" s="207" t="s">
        <v>215</v>
      </c>
      <c r="F7" s="208" t="s">
        <v>216</v>
      </c>
      <c r="G7" s="208"/>
      <c r="H7" s="208"/>
      <c r="I7" s="209"/>
    </row>
    <row r="8" spans="1:9" ht="15.75" customHeight="1">
      <c r="A8" s="313"/>
      <c r="B8" s="210"/>
      <c r="C8" s="210"/>
      <c r="D8" s="38" t="s">
        <v>87</v>
      </c>
      <c r="E8" s="211" t="s">
        <v>217</v>
      </c>
      <c r="F8" s="210"/>
      <c r="G8" s="212"/>
      <c r="H8" s="213" t="s">
        <v>98</v>
      </c>
      <c r="I8" s="210"/>
    </row>
    <row r="9" spans="1:9" ht="15.75" customHeight="1">
      <c r="A9" s="314" t="s">
        <v>112</v>
      </c>
      <c r="B9" s="41" t="s">
        <v>113</v>
      </c>
      <c r="C9" s="41" t="s">
        <v>114</v>
      </c>
      <c r="D9" s="41" t="s">
        <v>115</v>
      </c>
      <c r="E9" s="214" t="s">
        <v>119</v>
      </c>
      <c r="F9" s="41" t="s">
        <v>97</v>
      </c>
      <c r="G9" s="215" t="s">
        <v>52</v>
      </c>
      <c r="H9" s="41" t="s">
        <v>117</v>
      </c>
      <c r="I9" s="41" t="s">
        <v>69</v>
      </c>
    </row>
    <row r="10" spans="1:9" ht="4.5" customHeight="1">
      <c r="A10" s="62"/>
      <c r="B10" s="74"/>
      <c r="C10" s="74"/>
      <c r="D10" s="74"/>
      <c r="E10" s="74"/>
      <c r="F10" s="74"/>
      <c r="G10" s="74"/>
      <c r="H10" s="74"/>
      <c r="I10" s="74"/>
    </row>
    <row r="11" spans="1:9" ht="13.5" customHeight="1">
      <c r="A11" s="387" t="s">
        <v>327</v>
      </c>
      <c r="B11" s="362">
        <v>0</v>
      </c>
      <c r="C11" s="278">
        <f>B11/'- 3 -'!D11</f>
        <v>0</v>
      </c>
      <c r="D11" s="439">
        <f>IF(E11=0,"",B11/E11)</f>
      </c>
      <c r="E11" s="441">
        <f>SUM('- 6 -'!E11:H11)</f>
        <v>0</v>
      </c>
      <c r="F11" s="278">
        <f>IF(E11=0,"",'- 6 -'!E11/E11)</f>
      </c>
      <c r="G11" s="419">
        <f>IF(E11=0,"",'- 6 -'!F11/E11)</f>
      </c>
      <c r="H11" s="419">
        <f>IF(E11=0,"",'- 6 -'!G11/E11)</f>
      </c>
      <c r="I11" s="278">
        <f>IF(E11=0,"",'- 6 -'!H11/E11)</f>
      </c>
    </row>
    <row r="12" spans="1:9" ht="13.5" customHeight="1">
      <c r="A12" s="388" t="s">
        <v>328</v>
      </c>
      <c r="B12" s="361">
        <v>0</v>
      </c>
      <c r="C12" s="279">
        <f>B12/'- 3 -'!D12</f>
        <v>0</v>
      </c>
      <c r="D12" s="440">
        <f aca="true" t="shared" si="0" ref="D12:D47">IF(E12=0,"",B12/E12)</f>
      </c>
      <c r="E12" s="442">
        <f>SUM('- 6 -'!E12:H12)</f>
        <v>0</v>
      </c>
      <c r="F12" s="279">
        <f>IF(E12=0,"",'- 6 -'!E12/E12)</f>
      </c>
      <c r="G12" s="420">
        <f>IF(E12=0,"",'- 6 -'!F12/E12)</f>
      </c>
      <c r="H12" s="420">
        <f>IF(E12=0,"",'- 6 -'!G12/E12)</f>
      </c>
      <c r="I12" s="279">
        <f>IF(E12=0,"",'- 6 -'!H12/E12)</f>
      </c>
    </row>
    <row r="13" spans="1:9" ht="13.5" customHeight="1">
      <c r="A13" s="387" t="s">
        <v>329</v>
      </c>
      <c r="B13" s="362">
        <v>3712409</v>
      </c>
      <c r="C13" s="278">
        <f>B13/'- 3 -'!D13</f>
        <v>0.07978172217296826</v>
      </c>
      <c r="D13" s="439">
        <f t="shared" si="0"/>
        <v>3424.731549815498</v>
      </c>
      <c r="E13" s="441">
        <f>SUM('- 6 -'!E13:H13)</f>
        <v>1084</v>
      </c>
      <c r="F13" s="278">
        <f>IF(E13=0,"",'- 6 -'!E13/E13)</f>
        <v>0.5621771217712177</v>
      </c>
      <c r="G13" s="419">
        <f>IF(E13=0,"",'- 6 -'!F13/E13)</f>
        <v>0</v>
      </c>
      <c r="H13" s="419">
        <f>IF(E13=0,"",'- 6 -'!G13/E13)</f>
        <v>0.4378228782287823</v>
      </c>
      <c r="I13" s="278">
        <f>IF(E13=0,"",'- 6 -'!H13/E13)</f>
        <v>0</v>
      </c>
    </row>
    <row r="14" spans="1:9" ht="13.5" customHeight="1">
      <c r="A14" s="388" t="s">
        <v>366</v>
      </c>
      <c r="B14" s="361">
        <v>0</v>
      </c>
      <c r="C14" s="279">
        <f>B14/'- 3 -'!D14</f>
        <v>0</v>
      </c>
      <c r="D14" s="440">
        <f t="shared" si="0"/>
      </c>
      <c r="E14" s="442">
        <f>SUM('- 6 -'!E14:H14)</f>
        <v>0</v>
      </c>
      <c r="F14" s="279">
        <f>IF(E14=0,"",'- 6 -'!E14/E14)</f>
      </c>
      <c r="G14" s="420">
        <f>IF(E14=0,"",'- 6 -'!F14/E14)</f>
      </c>
      <c r="H14" s="420">
        <f>IF(E14=0,"",'- 6 -'!G14/E14)</f>
      </c>
      <c r="I14" s="279">
        <f>IF(E14=0,"",'- 6 -'!H14/E14)</f>
      </c>
    </row>
    <row r="15" spans="1:9" ht="13.5" customHeight="1">
      <c r="A15" s="387" t="s">
        <v>330</v>
      </c>
      <c r="B15" s="362">
        <v>0</v>
      </c>
      <c r="C15" s="278">
        <f>B15/'- 3 -'!D15</f>
        <v>0</v>
      </c>
      <c r="D15" s="439">
        <f t="shared" si="0"/>
      </c>
      <c r="E15" s="441">
        <f>SUM('- 6 -'!E15:H15)</f>
        <v>0</v>
      </c>
      <c r="F15" s="278">
        <f>IF(E15=0,"",'- 6 -'!E15/E15)</f>
      </c>
      <c r="G15" s="419">
        <f>IF(E15=0,"",'- 6 -'!F15/E15)</f>
      </c>
      <c r="H15" s="419">
        <f>IF(E15=0,"",'- 6 -'!G15/E15)</f>
      </c>
      <c r="I15" s="278">
        <f>IF(E15=0,"",'- 6 -'!H15/E15)</f>
      </c>
    </row>
    <row r="16" spans="1:9" ht="13.5" customHeight="1">
      <c r="A16" s="388" t="s">
        <v>331</v>
      </c>
      <c r="B16" s="361">
        <v>1842839</v>
      </c>
      <c r="C16" s="279">
        <f>B16/'- 3 -'!D16</f>
        <v>0.17088881445658358</v>
      </c>
      <c r="D16" s="440">
        <f t="shared" si="0"/>
        <v>4325.9131455399065</v>
      </c>
      <c r="E16" s="442">
        <f>SUM('- 6 -'!E16:H16)</f>
        <v>426</v>
      </c>
      <c r="F16" s="279">
        <f>IF(E16=0,"",'- 6 -'!E16/E16)</f>
        <v>0.7664319248826291</v>
      </c>
      <c r="G16" s="420">
        <f>IF(E16=0,"",'- 6 -'!F16/E16)</f>
        <v>0</v>
      </c>
      <c r="H16" s="420">
        <f>IF(E16=0,"",'- 6 -'!G16/E16)</f>
        <v>0.2335680751173709</v>
      </c>
      <c r="I16" s="279">
        <f>IF(E16=0,"",'- 6 -'!H16/E16)</f>
        <v>0</v>
      </c>
    </row>
    <row r="17" spans="1:9" ht="13.5" customHeight="1">
      <c r="A17" s="387" t="s">
        <v>332</v>
      </c>
      <c r="B17" s="362">
        <v>0</v>
      </c>
      <c r="C17" s="278">
        <f>B17/'- 3 -'!D17</f>
        <v>0</v>
      </c>
      <c r="D17" s="439">
        <f t="shared" si="0"/>
      </c>
      <c r="E17" s="441">
        <f>SUM('- 6 -'!E17:H17)</f>
        <v>0</v>
      </c>
      <c r="F17" s="278">
        <f>IF(E17=0,"",'- 6 -'!E17/E17)</f>
      </c>
      <c r="G17" s="419">
        <f>IF(E17=0,"",'- 6 -'!F17/E17)</f>
      </c>
      <c r="H17" s="419">
        <f>IF(E17=0,"",'- 6 -'!G17/E17)</f>
      </c>
      <c r="I17" s="278">
        <f>IF(E17=0,"",'- 6 -'!H17/E17)</f>
      </c>
    </row>
    <row r="18" spans="1:9" ht="13.5" customHeight="1">
      <c r="A18" s="388" t="s">
        <v>333</v>
      </c>
      <c r="B18" s="361">
        <v>0</v>
      </c>
      <c r="C18" s="279">
        <f>B18/'- 3 -'!D18</f>
        <v>0</v>
      </c>
      <c r="D18" s="440">
        <f t="shared" si="0"/>
      </c>
      <c r="E18" s="442">
        <f>SUM('- 6 -'!E18:H18)</f>
        <v>0</v>
      </c>
      <c r="F18" s="279">
        <f>IF(E18=0,"",'- 6 -'!E18/E18)</f>
      </c>
      <c r="G18" s="420">
        <f>IF(E18=0,"",'- 6 -'!F18/E18)</f>
      </c>
      <c r="H18" s="420">
        <f>IF(E18=0,"",'- 6 -'!G18/E18)</f>
      </c>
      <c r="I18" s="279">
        <f>IF(E18=0,"",'- 6 -'!H18/E18)</f>
      </c>
    </row>
    <row r="19" spans="1:9" ht="13.5" customHeight="1">
      <c r="A19" s="387" t="s">
        <v>334</v>
      </c>
      <c r="B19" s="362">
        <v>0</v>
      </c>
      <c r="C19" s="278">
        <f>B19/'- 3 -'!D19</f>
        <v>0</v>
      </c>
      <c r="D19" s="439">
        <f t="shared" si="0"/>
      </c>
      <c r="E19" s="441">
        <f>SUM('- 6 -'!E19:H19)</f>
        <v>0</v>
      </c>
      <c r="F19" s="278">
        <f>IF(E19=0,"",'- 6 -'!E19/E19)</f>
      </c>
      <c r="G19" s="419">
        <f>IF(E19=0,"",'- 6 -'!F19/E19)</f>
      </c>
      <c r="H19" s="419">
        <f>IF(E19=0,"",'- 6 -'!G19/E19)</f>
      </c>
      <c r="I19" s="278">
        <f>IF(E19=0,"",'- 6 -'!H19/E19)</f>
      </c>
    </row>
    <row r="20" spans="1:9" ht="13.5" customHeight="1">
      <c r="A20" s="388" t="s">
        <v>335</v>
      </c>
      <c r="B20" s="361">
        <v>0</v>
      </c>
      <c r="C20" s="279">
        <f>B20/'- 3 -'!D20</f>
        <v>0</v>
      </c>
      <c r="D20" s="440">
        <f t="shared" si="0"/>
      </c>
      <c r="E20" s="442">
        <f>SUM('- 6 -'!E20:H20)</f>
        <v>0</v>
      </c>
      <c r="F20" s="279">
        <f>IF(E20=0,"",'- 6 -'!E20/E20)</f>
      </c>
      <c r="G20" s="420">
        <f>IF(E20=0,"",'- 6 -'!F20/E20)</f>
      </c>
      <c r="H20" s="420">
        <f>IF(E20=0,"",'- 6 -'!G20/E20)</f>
      </c>
      <c r="I20" s="279">
        <f>IF(E20=0,"",'- 6 -'!H20/E20)</f>
      </c>
    </row>
    <row r="21" spans="1:9" ht="13.5" customHeight="1">
      <c r="A21" s="387" t="s">
        <v>336</v>
      </c>
      <c r="B21" s="362">
        <v>0</v>
      </c>
      <c r="C21" s="278">
        <f>B21/'- 3 -'!D21</f>
        <v>0</v>
      </c>
      <c r="D21" s="439">
        <f t="shared" si="0"/>
      </c>
      <c r="E21" s="441">
        <f>SUM('- 6 -'!E21:H21)</f>
        <v>0</v>
      </c>
      <c r="F21" s="278">
        <f>IF(E21=0,"",'- 6 -'!E21/E21)</f>
      </c>
      <c r="G21" s="419">
        <f>IF(E21=0,"",'- 6 -'!F21/E21)</f>
      </c>
      <c r="H21" s="419">
        <f>IF(E21=0,"",'- 6 -'!G21/E21)</f>
      </c>
      <c r="I21" s="278">
        <f>IF(E21=0,"",'- 6 -'!H21/E21)</f>
      </c>
    </row>
    <row r="22" spans="1:9" ht="13.5" customHeight="1">
      <c r="A22" s="388" t="s">
        <v>337</v>
      </c>
      <c r="B22" s="361">
        <v>2172683</v>
      </c>
      <c r="C22" s="279">
        <f>B22/'- 3 -'!D22</f>
        <v>0.16970605637515743</v>
      </c>
      <c r="D22" s="440">
        <f t="shared" si="0"/>
        <v>4083.9906015037595</v>
      </c>
      <c r="E22" s="442">
        <f>SUM('- 6 -'!E22:H22)</f>
        <v>532</v>
      </c>
      <c r="F22" s="279">
        <f>IF(E22=0,"",'- 6 -'!E22/E22)</f>
        <v>0.6983082706766918</v>
      </c>
      <c r="G22" s="420">
        <f>IF(E22=0,"",'- 6 -'!F22/E22)</f>
        <v>0</v>
      </c>
      <c r="H22" s="420">
        <f>IF(E22=0,"",'- 6 -'!G22/E22)</f>
        <v>0.3016917293233083</v>
      </c>
      <c r="I22" s="279">
        <f>IF(E22=0,"",'- 6 -'!H22/E22)</f>
        <v>0</v>
      </c>
    </row>
    <row r="23" spans="1:9" ht="13.5" customHeight="1">
      <c r="A23" s="387" t="s">
        <v>338</v>
      </c>
      <c r="B23" s="362">
        <v>0</v>
      </c>
      <c r="C23" s="278">
        <f>B23/'- 3 -'!D23</f>
        <v>0</v>
      </c>
      <c r="D23" s="439">
        <f t="shared" si="0"/>
      </c>
      <c r="E23" s="441">
        <f>SUM('- 6 -'!E23:H23)</f>
        <v>0</v>
      </c>
      <c r="F23" s="278">
        <f>IF(E23=0,"",'- 6 -'!E23/E23)</f>
      </c>
      <c r="G23" s="419">
        <f>IF(E23=0,"",'- 6 -'!F23/E23)</f>
      </c>
      <c r="H23" s="419">
        <f>IF(E23=0,"",'- 6 -'!G23/E23)</f>
      </c>
      <c r="I23" s="278">
        <f>IF(E23=0,"",'- 6 -'!H23/E23)</f>
      </c>
    </row>
    <row r="24" spans="1:9" ht="13.5" customHeight="1">
      <c r="A24" s="388" t="s">
        <v>339</v>
      </c>
      <c r="B24" s="361">
        <v>4058155</v>
      </c>
      <c r="C24" s="279">
        <f>B24/'- 3 -'!D24</f>
        <v>0.12171041501453077</v>
      </c>
      <c r="D24" s="440">
        <f t="shared" si="0"/>
        <v>3641.2337371018393</v>
      </c>
      <c r="E24" s="442">
        <f>SUM('- 6 -'!E24:H24)</f>
        <v>1114.5</v>
      </c>
      <c r="F24" s="279">
        <f>IF(E24=0,"",'- 6 -'!E24/E24)</f>
        <v>0.8497083894122925</v>
      </c>
      <c r="G24" s="420">
        <f>IF(E24=0,"",'- 6 -'!F24/E24)</f>
        <v>0</v>
      </c>
      <c r="H24" s="420">
        <f>IF(E24=0,"",'- 6 -'!G24/E24)</f>
        <v>0.05383580080753701</v>
      </c>
      <c r="I24" s="279">
        <f>IF(E24=0,"",'- 6 -'!H24/E24)</f>
        <v>0.09645580978017047</v>
      </c>
    </row>
    <row r="25" spans="1:9" ht="13.5" customHeight="1">
      <c r="A25" s="387" t="s">
        <v>340</v>
      </c>
      <c r="B25" s="362">
        <v>0</v>
      </c>
      <c r="C25" s="278">
        <f>B25/'- 3 -'!D25</f>
        <v>0</v>
      </c>
      <c r="D25" s="439">
        <f t="shared" si="0"/>
      </c>
      <c r="E25" s="441">
        <f>SUM('- 6 -'!E25:H25)</f>
        <v>0</v>
      </c>
      <c r="F25" s="278">
        <f>IF(E25=0,"",'- 6 -'!E25/E25)</f>
      </c>
      <c r="G25" s="419">
        <f>IF(E25=0,"",'- 6 -'!F25/E25)</f>
      </c>
      <c r="H25" s="419">
        <f>IF(E25=0,"",'- 6 -'!G25/E25)</f>
      </c>
      <c r="I25" s="278">
        <f>IF(E25=0,"",'- 6 -'!H25/E25)</f>
      </c>
    </row>
    <row r="26" spans="1:9" ht="13.5" customHeight="1">
      <c r="A26" s="388" t="s">
        <v>341</v>
      </c>
      <c r="B26" s="361">
        <v>1259983.66</v>
      </c>
      <c r="C26" s="279">
        <f>B26/'- 3 -'!D26</f>
        <v>0.048805637451153815</v>
      </c>
      <c r="D26" s="440">
        <f t="shared" si="0"/>
        <v>3559.2758757062143</v>
      </c>
      <c r="E26" s="442">
        <f>SUM('- 6 -'!E26:H26)</f>
        <v>354</v>
      </c>
      <c r="F26" s="279">
        <f>IF(E26=0,"",'- 6 -'!E26/E26)</f>
        <v>0.615819209039548</v>
      </c>
      <c r="G26" s="420">
        <f>IF(E26=0,"",'- 6 -'!F26/E26)</f>
        <v>0</v>
      </c>
      <c r="H26" s="420">
        <f>IF(E26=0,"",'- 6 -'!G26/E26)</f>
        <v>0.11016949152542373</v>
      </c>
      <c r="I26" s="279">
        <f>IF(E26=0,"",'- 6 -'!H26/E26)</f>
        <v>0.2740112994350282</v>
      </c>
    </row>
    <row r="27" spans="1:9" ht="13.5" customHeight="1">
      <c r="A27" s="387" t="s">
        <v>342</v>
      </c>
      <c r="B27" s="362">
        <v>1848154</v>
      </c>
      <c r="C27" s="278">
        <f>B27/'- 3 -'!D27</f>
        <v>0.0719396557546131</v>
      </c>
      <c r="D27" s="439">
        <f t="shared" si="0"/>
        <v>4153.155056179775</v>
      </c>
      <c r="E27" s="441">
        <f>SUM('- 6 -'!E27:H27)</f>
        <v>445</v>
      </c>
      <c r="F27" s="278">
        <f>IF(E27=0,"",'- 6 -'!E27/E27)</f>
        <v>0.47415730337078654</v>
      </c>
      <c r="G27" s="419">
        <f>IF(E27=0,"",'- 6 -'!F27/E27)</f>
        <v>0</v>
      </c>
      <c r="H27" s="419">
        <f>IF(E27=0,"",'- 6 -'!G27/E27)</f>
        <v>0</v>
      </c>
      <c r="I27" s="278">
        <f>IF(E27=0,"",'- 6 -'!H27/E27)</f>
        <v>0.5258426966292135</v>
      </c>
    </row>
    <row r="28" spans="1:9" ht="13.5" customHeight="1">
      <c r="A28" s="388" t="s">
        <v>343</v>
      </c>
      <c r="B28" s="361">
        <v>0</v>
      </c>
      <c r="C28" s="279">
        <f>B28/'- 3 -'!D28</f>
        <v>0</v>
      </c>
      <c r="D28" s="440">
        <f t="shared" si="0"/>
      </c>
      <c r="E28" s="442">
        <f>SUM('- 6 -'!E28:H28)</f>
        <v>0</v>
      </c>
      <c r="F28" s="279">
        <f>IF(E28=0,"",'- 6 -'!E28/E28)</f>
      </c>
      <c r="G28" s="420">
        <f>IF(E28=0,"",'- 6 -'!F28/E28)</f>
      </c>
      <c r="H28" s="420">
        <f>IF(E28=0,"",'- 6 -'!G28/E28)</f>
      </c>
      <c r="I28" s="279">
        <f>IF(E28=0,"",'- 6 -'!H28/E28)</f>
      </c>
    </row>
    <row r="29" spans="1:9" ht="13.5" customHeight="1">
      <c r="A29" s="387" t="s">
        <v>344</v>
      </c>
      <c r="B29" s="362">
        <v>11133533</v>
      </c>
      <c r="C29" s="278">
        <f>B29/'- 3 -'!D29</f>
        <v>0.11407802934571887</v>
      </c>
      <c r="D29" s="439">
        <f t="shared" si="0"/>
        <v>3677.1031772243873</v>
      </c>
      <c r="E29" s="441">
        <f>SUM('- 6 -'!E29:H29)</f>
        <v>3027.8</v>
      </c>
      <c r="F29" s="278">
        <f>IF(E29=0,"",'- 6 -'!E29/E29)</f>
        <v>0.6622960565427042</v>
      </c>
      <c r="G29" s="419">
        <f>IF(E29=0,"",'- 6 -'!F29/E29)</f>
        <v>0</v>
      </c>
      <c r="H29" s="419">
        <f>IF(E29=0,"",'- 6 -'!G29/E29)</f>
        <v>0.3377039434572957</v>
      </c>
      <c r="I29" s="278">
        <f>IF(E29=0,"",'- 6 -'!H29/E29)</f>
        <v>0</v>
      </c>
    </row>
    <row r="30" spans="1:9" ht="13.5" customHeight="1">
      <c r="A30" s="388" t="s">
        <v>345</v>
      </c>
      <c r="B30" s="361">
        <v>0</v>
      </c>
      <c r="C30" s="279">
        <f>B30/'- 3 -'!D30</f>
        <v>0</v>
      </c>
      <c r="D30" s="440">
        <f t="shared" si="0"/>
      </c>
      <c r="E30" s="442">
        <f>SUM('- 6 -'!E30:H30)</f>
        <v>0</v>
      </c>
      <c r="F30" s="279">
        <f>IF(E30=0,"",'- 6 -'!E30/E30)</f>
      </c>
      <c r="G30" s="420">
        <f>IF(E30=0,"",'- 6 -'!F30/E30)</f>
      </c>
      <c r="H30" s="420">
        <f>IF(E30=0,"",'- 6 -'!G30/E30)</f>
      </c>
      <c r="I30" s="279">
        <f>IF(E30=0,"",'- 6 -'!H30/E30)</f>
      </c>
    </row>
    <row r="31" spans="1:9" ht="13.5" customHeight="1">
      <c r="A31" s="387" t="s">
        <v>346</v>
      </c>
      <c r="B31" s="362">
        <v>1530958</v>
      </c>
      <c r="C31" s="278">
        <f>B31/'- 3 -'!D31</f>
        <v>0.06275668536902722</v>
      </c>
      <c r="D31" s="439">
        <f t="shared" si="0"/>
        <v>3451.9909808342727</v>
      </c>
      <c r="E31" s="441">
        <f>SUM('- 6 -'!E31:H31)</f>
        <v>443.5</v>
      </c>
      <c r="F31" s="278">
        <f>IF(E31=0,"",'- 6 -'!E31/E31)</f>
        <v>0.552423900789177</v>
      </c>
      <c r="G31" s="419">
        <f>IF(E31=0,"",'- 6 -'!F31/E31)</f>
        <v>0</v>
      </c>
      <c r="H31" s="419">
        <f>IF(E31=0,"",'- 6 -'!G31/E31)</f>
        <v>0.447576099210823</v>
      </c>
      <c r="I31" s="278">
        <f>IF(E31=0,"",'- 6 -'!H31/E31)</f>
        <v>0</v>
      </c>
    </row>
    <row r="32" spans="1:9" ht="13.5" customHeight="1">
      <c r="A32" s="388" t="s">
        <v>347</v>
      </c>
      <c r="B32" s="361">
        <v>1877479</v>
      </c>
      <c r="C32" s="279">
        <f>B32/'- 3 -'!D32</f>
        <v>0.10328344352557674</v>
      </c>
      <c r="D32" s="440">
        <f t="shared" si="0"/>
        <v>4534.97342995169</v>
      </c>
      <c r="E32" s="442">
        <f>SUM('- 6 -'!E32:H32)</f>
        <v>414</v>
      </c>
      <c r="F32" s="279">
        <f>IF(E32=0,"",'- 6 -'!E32/E32)</f>
        <v>0.7439613526570048</v>
      </c>
      <c r="G32" s="420">
        <f>IF(E32=0,"",'- 6 -'!F32/E32)</f>
        <v>0</v>
      </c>
      <c r="H32" s="420">
        <f>IF(E32=0,"",'- 6 -'!G32/E32)</f>
        <v>0.2560386473429952</v>
      </c>
      <c r="I32" s="279">
        <f>IF(E32=0,"",'- 6 -'!H32/E32)</f>
        <v>0</v>
      </c>
    </row>
    <row r="33" spans="1:9" ht="13.5" customHeight="1">
      <c r="A33" s="387" t="s">
        <v>348</v>
      </c>
      <c r="B33" s="362">
        <v>1755080</v>
      </c>
      <c r="C33" s="278">
        <f>B33/'- 3 -'!D33</f>
        <v>0.08096547784777089</v>
      </c>
      <c r="D33" s="439">
        <f t="shared" si="0"/>
        <v>4522.236536975006</v>
      </c>
      <c r="E33" s="441">
        <f>SUM('- 6 -'!E33:H33)</f>
        <v>388.1</v>
      </c>
      <c r="F33" s="278">
        <f>IF(E33=0,"",'- 6 -'!E33/E33)</f>
        <v>0.44086575624838953</v>
      </c>
      <c r="G33" s="419">
        <f>IF(E33=0,"",'- 6 -'!F33/E33)</f>
        <v>0.4045349136820407</v>
      </c>
      <c r="H33" s="419">
        <f>IF(E33=0,"",'- 6 -'!G33/E33)</f>
        <v>0.1545993300695697</v>
      </c>
      <c r="I33" s="278">
        <f>IF(E33=0,"",'- 6 -'!H33/E33)</f>
        <v>0</v>
      </c>
    </row>
    <row r="34" spans="1:9" ht="13.5" customHeight="1">
      <c r="A34" s="388" t="s">
        <v>349</v>
      </c>
      <c r="B34" s="361">
        <v>0</v>
      </c>
      <c r="C34" s="279">
        <f>B34/'- 3 -'!D34</f>
        <v>0</v>
      </c>
      <c r="D34" s="440">
        <f t="shared" si="0"/>
      </c>
      <c r="E34" s="442">
        <f>SUM('- 6 -'!E34:H34)</f>
        <v>0</v>
      </c>
      <c r="F34" s="279">
        <f>IF(E34=0,"",'- 6 -'!E34/E34)</f>
      </c>
      <c r="G34" s="420">
        <f>IF(E34=0,"",'- 6 -'!F34/E34)</f>
      </c>
      <c r="H34" s="420">
        <f>IF(E34=0,"",'- 6 -'!G34/E34)</f>
      </c>
      <c r="I34" s="279">
        <f>IF(E34=0,"",'- 6 -'!H34/E34)</f>
      </c>
    </row>
    <row r="35" spans="1:9" ht="13.5" customHeight="1">
      <c r="A35" s="387" t="s">
        <v>350</v>
      </c>
      <c r="B35" s="362">
        <v>18005198</v>
      </c>
      <c r="C35" s="278">
        <f>B35/'- 3 -'!D35</f>
        <v>0.14713233649391036</v>
      </c>
      <c r="D35" s="439">
        <f t="shared" si="0"/>
        <v>3747.179604578564</v>
      </c>
      <c r="E35" s="441">
        <f>SUM('- 6 -'!E35:H35)</f>
        <v>4805</v>
      </c>
      <c r="F35" s="278">
        <f>IF(E35=0,"",'- 6 -'!E35/E35)</f>
        <v>0.6222684703433923</v>
      </c>
      <c r="G35" s="419">
        <f>IF(E35=0,"",'- 6 -'!F35/E35)</f>
        <v>0</v>
      </c>
      <c r="H35" s="419">
        <f>IF(E35=0,"",'- 6 -'!G35/E35)</f>
        <v>0.2432882414151925</v>
      </c>
      <c r="I35" s="278">
        <f>IF(E35=0,"",'- 6 -'!H35/E35)</f>
        <v>0.1344432882414152</v>
      </c>
    </row>
    <row r="36" spans="1:9" ht="13.5" customHeight="1">
      <c r="A36" s="388" t="s">
        <v>351</v>
      </c>
      <c r="B36" s="361">
        <v>0</v>
      </c>
      <c r="C36" s="279">
        <f>B36/'- 3 -'!D36</f>
        <v>0</v>
      </c>
      <c r="D36" s="440">
        <f t="shared" si="0"/>
      </c>
      <c r="E36" s="442">
        <f>SUM('- 6 -'!E36:H36)</f>
        <v>0</v>
      </c>
      <c r="F36" s="279">
        <f>IF(E36=0,"",'- 6 -'!E36/E36)</f>
      </c>
      <c r="G36" s="420">
        <f>IF(E36=0,"",'- 6 -'!F36/E36)</f>
      </c>
      <c r="H36" s="420">
        <f>IF(E36=0,"",'- 6 -'!G36/E36)</f>
      </c>
      <c r="I36" s="279">
        <f>IF(E36=0,"",'- 6 -'!H36/E36)</f>
      </c>
    </row>
    <row r="37" spans="1:9" ht="13.5" customHeight="1">
      <c r="A37" s="387" t="s">
        <v>352</v>
      </c>
      <c r="B37" s="362">
        <v>4029907</v>
      </c>
      <c r="C37" s="278">
        <f>B37/'- 3 -'!D37</f>
        <v>0.17229092665542803</v>
      </c>
      <c r="D37" s="439">
        <f t="shared" si="0"/>
        <v>3292.1387141573405</v>
      </c>
      <c r="E37" s="441">
        <f>SUM('- 6 -'!E37:H37)</f>
        <v>1224.1</v>
      </c>
      <c r="F37" s="278">
        <f>IF(E37=0,"",'- 6 -'!E37/E37)</f>
        <v>0.6568907768973123</v>
      </c>
      <c r="G37" s="419">
        <f>IF(E37=0,"",'- 6 -'!F37/E37)</f>
        <v>0</v>
      </c>
      <c r="H37" s="419">
        <f>IF(E37=0,"",'- 6 -'!G37/E37)</f>
        <v>0.3431092231026877</v>
      </c>
      <c r="I37" s="278">
        <f>IF(E37=0,"",'- 6 -'!H37/E37)</f>
        <v>0</v>
      </c>
    </row>
    <row r="38" spans="1:9" ht="13.5" customHeight="1">
      <c r="A38" s="388" t="s">
        <v>353</v>
      </c>
      <c r="B38" s="361">
        <v>13440021</v>
      </c>
      <c r="C38" s="279">
        <f>B38/'- 3 -'!D38</f>
        <v>0.21839286434916624</v>
      </c>
      <c r="D38" s="440">
        <f t="shared" si="0"/>
        <v>3683.20663195396</v>
      </c>
      <c r="E38" s="442">
        <f>SUM('- 6 -'!E38:H38)</f>
        <v>3649</v>
      </c>
      <c r="F38" s="279">
        <f>IF(E38=0,"",'- 6 -'!E38/E38)</f>
        <v>0.7565086325020554</v>
      </c>
      <c r="G38" s="420">
        <f>IF(E38=0,"",'- 6 -'!F38/E38)</f>
        <v>0</v>
      </c>
      <c r="H38" s="420">
        <f>IF(E38=0,"",'- 6 -'!G38/E38)</f>
        <v>0.19128528363935324</v>
      </c>
      <c r="I38" s="279">
        <f>IF(E38=0,"",'- 6 -'!H38/E38)</f>
        <v>0.05220608385859139</v>
      </c>
    </row>
    <row r="39" spans="1:9" ht="13.5" customHeight="1">
      <c r="A39" s="387" t="s">
        <v>354</v>
      </c>
      <c r="B39" s="362">
        <v>0</v>
      </c>
      <c r="C39" s="278">
        <f>B39/'- 3 -'!D39</f>
        <v>0</v>
      </c>
      <c r="D39" s="439">
        <f t="shared" si="0"/>
      </c>
      <c r="E39" s="441">
        <f>SUM('- 6 -'!E39:H39)</f>
        <v>0</v>
      </c>
      <c r="F39" s="278">
        <f>IF(E39=0,"",'- 6 -'!E39/E39)</f>
      </c>
      <c r="G39" s="419">
        <f>IF(E39=0,"",'- 6 -'!F39/E39)</f>
      </c>
      <c r="H39" s="419">
        <f>IF(E39=0,"",'- 6 -'!G39/E39)</f>
      </c>
      <c r="I39" s="278">
        <f>IF(E39=0,"",'- 6 -'!H39/E39)</f>
      </c>
    </row>
    <row r="40" spans="1:9" ht="13.5" customHeight="1">
      <c r="A40" s="388" t="s">
        <v>355</v>
      </c>
      <c r="B40" s="361">
        <v>5614066</v>
      </c>
      <c r="C40" s="279">
        <f>B40/'- 3 -'!D40</f>
        <v>0.09044564189801445</v>
      </c>
      <c r="D40" s="440">
        <f t="shared" si="0"/>
        <v>4025.718690617045</v>
      </c>
      <c r="E40" s="442">
        <f>SUM('- 6 -'!E40:H40)</f>
        <v>1394.55</v>
      </c>
      <c r="F40" s="279">
        <f>IF(E40=0,"",'- 6 -'!E40/E40)</f>
        <v>0.6314223226130293</v>
      </c>
      <c r="G40" s="420">
        <f>IF(E40=0,"",'- 6 -'!F40/E40)</f>
        <v>0</v>
      </c>
      <c r="H40" s="420">
        <f>IF(E40=0,"",'- 6 -'!G40/E40)</f>
        <v>0.3685776773869707</v>
      </c>
      <c r="I40" s="279">
        <f>IF(E40=0,"",'- 6 -'!H40/E40)</f>
        <v>0</v>
      </c>
    </row>
    <row r="41" spans="1:9" ht="13.5" customHeight="1">
      <c r="A41" s="387" t="s">
        <v>356</v>
      </c>
      <c r="B41" s="362">
        <v>5714471</v>
      </c>
      <c r="C41" s="278">
        <f>B41/'- 3 -'!D41</f>
        <v>0.15214876441237118</v>
      </c>
      <c r="D41" s="439">
        <f t="shared" si="0"/>
        <v>3245.9363817097415</v>
      </c>
      <c r="E41" s="441">
        <f>SUM('- 6 -'!E41:H41)</f>
        <v>1760.5</v>
      </c>
      <c r="F41" s="278">
        <f>IF(E41=0,"",'- 6 -'!E41/E41)</f>
        <v>0.7051973871059358</v>
      </c>
      <c r="G41" s="419">
        <f>IF(E41=0,"",'- 6 -'!F41/E41)</f>
        <v>0</v>
      </c>
      <c r="H41" s="419">
        <f>IF(E41=0,"",'- 6 -'!G41/E41)</f>
        <v>0.25504118148253335</v>
      </c>
      <c r="I41" s="278">
        <f>IF(E41=0,"",'- 6 -'!H41/E41)</f>
        <v>0.039761431411530816</v>
      </c>
    </row>
    <row r="42" spans="1:9" ht="13.5" customHeight="1">
      <c r="A42" s="388" t="s">
        <v>357</v>
      </c>
      <c r="B42" s="361">
        <v>1059251</v>
      </c>
      <c r="C42" s="279">
        <f>B42/'- 3 -'!D42</f>
        <v>0.07285058481237476</v>
      </c>
      <c r="D42" s="440">
        <f t="shared" si="0"/>
        <v>3478.656814449918</v>
      </c>
      <c r="E42" s="442">
        <f>SUM('- 6 -'!E42:H42)</f>
        <v>304.5</v>
      </c>
      <c r="F42" s="279">
        <f>IF(E42=0,"",'- 6 -'!E42/E42)</f>
        <v>0.6732348111658456</v>
      </c>
      <c r="G42" s="420">
        <f>IF(E42=0,"",'- 6 -'!F42/E42)</f>
        <v>0</v>
      </c>
      <c r="H42" s="420">
        <f>IF(E42=0,"",'- 6 -'!G42/E42)</f>
        <v>0.32676518883415434</v>
      </c>
      <c r="I42" s="279">
        <f>IF(E42=0,"",'- 6 -'!H42/E42)</f>
        <v>0</v>
      </c>
    </row>
    <row r="43" spans="1:9" ht="13.5" customHeight="1">
      <c r="A43" s="387" t="s">
        <v>358</v>
      </c>
      <c r="B43" s="362">
        <v>0</v>
      </c>
      <c r="C43" s="278">
        <f>B43/'- 3 -'!D43</f>
        <v>0</v>
      </c>
      <c r="D43" s="439">
        <f t="shared" si="0"/>
      </c>
      <c r="E43" s="441">
        <f>SUM('- 6 -'!E43:H43)</f>
        <v>0</v>
      </c>
      <c r="F43" s="278">
        <f>IF(E43=0,"",'- 6 -'!E43/E43)</f>
      </c>
      <c r="G43" s="419">
        <f>IF(E43=0,"",'- 6 -'!F43/E43)</f>
      </c>
      <c r="H43" s="419">
        <f>IF(E43=0,"",'- 6 -'!G43/E43)</f>
      </c>
      <c r="I43" s="278">
        <f>IF(E43=0,"",'- 6 -'!H43/E43)</f>
      </c>
    </row>
    <row r="44" spans="1:9" ht="13.5" customHeight="1">
      <c r="A44" s="388" t="s">
        <v>359</v>
      </c>
      <c r="B44" s="361">
        <v>0</v>
      </c>
      <c r="C44" s="279">
        <f>B44/'- 3 -'!D44</f>
        <v>0</v>
      </c>
      <c r="D44" s="440">
        <f t="shared" si="0"/>
      </c>
      <c r="E44" s="442">
        <f>SUM('- 6 -'!E44:H44)</f>
        <v>0</v>
      </c>
      <c r="F44" s="279">
        <f>IF(E44=0,"",'- 6 -'!E44/E44)</f>
      </c>
      <c r="G44" s="420">
        <f>IF(E44=0,"",'- 6 -'!F44/E44)</f>
      </c>
      <c r="H44" s="420">
        <f>IF(E44=0,"",'- 6 -'!G44/E44)</f>
      </c>
      <c r="I44" s="279">
        <f>IF(E44=0,"",'- 6 -'!H44/E44)</f>
      </c>
    </row>
    <row r="45" spans="1:9" ht="13.5" customHeight="1">
      <c r="A45" s="387" t="s">
        <v>360</v>
      </c>
      <c r="B45" s="362">
        <v>1935797</v>
      </c>
      <c r="C45" s="278">
        <f>B45/'- 3 -'!D45</f>
        <v>0.19575651241808914</v>
      </c>
      <c r="D45" s="439">
        <f t="shared" si="0"/>
        <v>3555.182736455464</v>
      </c>
      <c r="E45" s="441">
        <f>SUM('- 6 -'!E45:H45)</f>
        <v>544.5</v>
      </c>
      <c r="F45" s="278">
        <f>IF(E45=0,"",'- 6 -'!E45/E45)</f>
        <v>0.18640955004591367</v>
      </c>
      <c r="G45" s="419">
        <f>IF(E45=0,"",'- 6 -'!F45/E45)</f>
        <v>0</v>
      </c>
      <c r="H45" s="419">
        <f>IF(E45=0,"",'- 6 -'!G45/E45)</f>
        <v>0.8135904499540864</v>
      </c>
      <c r="I45" s="278">
        <f>IF(E45=0,"",'- 6 -'!H45/E45)</f>
        <v>0</v>
      </c>
    </row>
    <row r="46" spans="1:9" ht="13.5" customHeight="1">
      <c r="A46" s="388" t="s">
        <v>361</v>
      </c>
      <c r="B46" s="361">
        <v>18664100</v>
      </c>
      <c r="C46" s="279">
        <f>B46/'- 3 -'!D46</f>
        <v>0.07448701236261471</v>
      </c>
      <c r="D46" s="440">
        <f t="shared" si="0"/>
        <v>3402.132701421801</v>
      </c>
      <c r="E46" s="442">
        <f>SUM('- 6 -'!E46:H46)</f>
        <v>5486</v>
      </c>
      <c r="F46" s="279">
        <f>IF(E46=0,"",'- 6 -'!E46/E46)</f>
        <v>0.6543930003645644</v>
      </c>
      <c r="G46" s="420">
        <f>IF(E46=0,"",'- 6 -'!F46/E46)</f>
        <v>0</v>
      </c>
      <c r="H46" s="420">
        <f>IF(E46=0,"",'- 6 -'!G46/E46)</f>
        <v>0.2917426175720015</v>
      </c>
      <c r="I46" s="279">
        <f>IF(E46=0,"",'- 6 -'!H46/E46)</f>
        <v>0.0538643820634342</v>
      </c>
    </row>
    <row r="47" spans="1:9" ht="13.5" customHeight="1">
      <c r="A47" s="387" t="s">
        <v>365</v>
      </c>
      <c r="B47" s="362">
        <v>0</v>
      </c>
      <c r="C47" s="278">
        <f>B47/'- 3 -'!D47</f>
        <v>0</v>
      </c>
      <c r="D47" s="439">
        <f t="shared" si="0"/>
      </c>
      <c r="E47" s="441">
        <f>SUM('- 6 -'!E47:H47)</f>
        <v>0</v>
      </c>
      <c r="F47" s="278">
        <f>IF(E47=0,"",'- 6 -'!E47/E47)</f>
      </c>
      <c r="G47" s="419">
        <f>IF(E47=0,"",'- 6 -'!F47/E47)</f>
      </c>
      <c r="H47" s="419">
        <f>IF(E47=0,"",'- 6 -'!G47/E47)</f>
      </c>
      <c r="I47" s="278">
        <f>IF(E47=0,"",'- 6 -'!H47/E47)</f>
      </c>
    </row>
    <row r="48" spans="1:9" ht="4.5" customHeight="1">
      <c r="A48" s="389"/>
      <c r="B48" s="322"/>
      <c r="C48" s="162"/>
      <c r="D48" s="322"/>
      <c r="E48" s="418"/>
      <c r="F48" s="162"/>
      <c r="G48" s="421"/>
      <c r="H48" s="421"/>
      <c r="I48" s="162"/>
    </row>
    <row r="49" spans="1:9" ht="13.5" customHeight="1">
      <c r="A49" s="383" t="s">
        <v>362</v>
      </c>
      <c r="B49" s="363">
        <f>SUM(B11:B47)</f>
        <v>99654084.66</v>
      </c>
      <c r="C49" s="81">
        <f>B49/'- 3 -'!D49</f>
        <v>0.07395491929922399</v>
      </c>
      <c r="D49" s="443">
        <f>B49/E49</f>
        <v>3637.4020071504046</v>
      </c>
      <c r="E49" s="444">
        <f>SUM(E11:E47)</f>
        <v>27397.05</v>
      </c>
      <c r="F49" s="81">
        <f>'- 6 -'!E49/E49</f>
        <v>0.6564922135777391</v>
      </c>
      <c r="G49" s="422">
        <f>'- 6 -'!F49/E49</f>
        <v>0.0057305439819250615</v>
      </c>
      <c r="H49" s="422">
        <f>'- 6 -'!G49/E49</f>
        <v>0.27789853287123983</v>
      </c>
      <c r="I49" s="81">
        <f>'- 6 -'!H49/E49</f>
        <v>0.059878709569095946</v>
      </c>
    </row>
    <row r="50" spans="1:9" ht="4.5" customHeight="1">
      <c r="A50" s="389" t="s">
        <v>15</v>
      </c>
      <c r="B50" s="322"/>
      <c r="C50" s="162"/>
      <c r="D50" s="322"/>
      <c r="E50" s="418"/>
      <c r="F50" s="162"/>
      <c r="G50" s="423"/>
      <c r="H50" s="421"/>
      <c r="I50" s="162"/>
    </row>
    <row r="51" spans="1:9" ht="13.5" customHeight="1">
      <c r="A51" s="388" t="s">
        <v>363</v>
      </c>
      <c r="B51" s="361">
        <v>0</v>
      </c>
      <c r="C51" s="279">
        <f>B51/'- 3 -'!D51</f>
        <v>0</v>
      </c>
      <c r="D51" s="361">
        <f>IF(E51=0,"",B51/E51)</f>
      </c>
      <c r="E51" s="442">
        <f>SUM('- 6 -'!E51:H51)</f>
        <v>0</v>
      </c>
      <c r="F51" s="279">
        <f>IF(E51=0,"",'- 6 -'!E51/E51)</f>
      </c>
      <c r="G51" s="424">
        <f>IF(E51=0,"",'- 6 -'!F51/E51)</f>
      </c>
      <c r="H51" s="420">
        <f>IF(E51=0,"",'- 6 -'!G51/E51)</f>
      </c>
      <c r="I51" s="279">
        <f>IF(E51=0,"",'- 6 -'!H51/E51)</f>
      </c>
    </row>
    <row r="52" spans="1:9" ht="13.5" customHeight="1">
      <c r="A52" s="387" t="s">
        <v>364</v>
      </c>
      <c r="B52" s="362">
        <v>0</v>
      </c>
      <c r="C52" s="278">
        <f>B52/'- 3 -'!D52</f>
        <v>0</v>
      </c>
      <c r="D52" s="362">
        <f>IF(E52=0,"",B52/E52)</f>
      </c>
      <c r="E52" s="441">
        <f>SUM('- 6 -'!E52:H52)</f>
        <v>0</v>
      </c>
      <c r="F52" s="278">
        <f>IF(E52=0,"",'- 6 -'!E52/E52)</f>
      </c>
      <c r="G52" s="425">
        <f>IF(E52=0,"",'- 6 -'!F52/E52)</f>
      </c>
      <c r="H52" s="419">
        <f>IF(E52=0,"",'- 6 -'!G52/E52)</f>
      </c>
      <c r="I52" s="278">
        <f>IF(E52=0,"",'- 6 -'!H52/E52)</f>
      </c>
    </row>
    <row r="53" spans="1:9" ht="49.5" customHeight="1">
      <c r="A53" s="324"/>
      <c r="B53" s="335"/>
      <c r="C53" s="335"/>
      <c r="D53" s="335"/>
      <c r="E53" s="335"/>
      <c r="F53" s="335"/>
      <c r="G53" s="335"/>
      <c r="H53" s="335"/>
      <c r="I53" s="335"/>
    </row>
    <row r="54" spans="1:9" ht="15" customHeight="1">
      <c r="A54" s="83" t="s">
        <v>549</v>
      </c>
      <c r="C54" s="74"/>
      <c r="D54" s="74"/>
      <c r="E54" s="74"/>
      <c r="F54" s="74"/>
      <c r="G54" s="74"/>
      <c r="H54" s="74"/>
      <c r="I54" s="74"/>
    </row>
    <row r="55" ht="12" customHeight="1">
      <c r="A55" s="83"/>
    </row>
    <row r="56" ht="12" customHeight="1">
      <c r="A56" s="3"/>
    </row>
    <row r="57" ht="12" customHeight="1">
      <c r="A57" s="3"/>
    </row>
    <row r="58" ht="12" customHeight="1">
      <c r="A58" s="229"/>
    </row>
    <row r="59" ht="12" customHeight="1"/>
    <row r="60" ht="12" customHeight="1">
      <c r="A60" s="229"/>
    </row>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8"/>
  <sheetViews>
    <sheetView showGridLines="0" showZeros="0" workbookViewId="0" topLeftCell="A1">
      <selection activeCell="A1" sqref="A1"/>
    </sheetView>
  </sheetViews>
  <sheetFormatPr defaultColWidth="15.83203125" defaultRowHeight="12"/>
  <cols>
    <col min="1" max="1" width="33.83203125" style="67" customWidth="1"/>
    <col min="2" max="2" width="16.83203125" style="67" customWidth="1"/>
    <col min="3" max="3" width="7.83203125" style="67" customWidth="1"/>
    <col min="4" max="4" width="9.83203125" style="67" customWidth="1"/>
    <col min="5" max="5" width="15.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10" ht="6.75" customHeight="1">
      <c r="A1" s="65"/>
      <c r="B1" s="116"/>
      <c r="C1" s="116"/>
      <c r="D1" s="116"/>
      <c r="E1" s="116"/>
      <c r="F1" s="116"/>
      <c r="G1" s="116"/>
      <c r="H1" s="116"/>
      <c r="I1" s="116"/>
      <c r="J1" s="116"/>
    </row>
    <row r="2" spans="1:10" ht="15.75" customHeight="1">
      <c r="A2" s="333"/>
      <c r="B2" s="360" t="s">
        <v>12</v>
      </c>
      <c r="C2" s="164"/>
      <c r="D2" s="164"/>
      <c r="E2" s="164"/>
      <c r="F2" s="164"/>
      <c r="G2" s="178"/>
      <c r="H2" s="178"/>
      <c r="I2" s="201"/>
      <c r="J2" s="336" t="s">
        <v>288</v>
      </c>
    </row>
    <row r="3" spans="1:10" ht="15.75" customHeight="1">
      <c r="A3" s="334"/>
      <c r="B3" s="456" t="str">
        <f>OPYEAR</f>
        <v>OPERATING FUND 2002/2003 ACTUAL</v>
      </c>
      <c r="C3" s="167"/>
      <c r="D3" s="167"/>
      <c r="E3" s="167"/>
      <c r="F3" s="167"/>
      <c r="G3" s="179"/>
      <c r="H3" s="179"/>
      <c r="I3" s="179"/>
      <c r="J3" s="182"/>
    </row>
    <row r="4" spans="2:10" ht="15.75" customHeight="1">
      <c r="B4" s="116"/>
      <c r="C4" s="116"/>
      <c r="D4" s="182"/>
      <c r="E4" s="116"/>
      <c r="F4" s="116"/>
      <c r="G4" s="116"/>
      <c r="H4" s="116"/>
      <c r="I4" s="116"/>
      <c r="J4" s="116"/>
    </row>
    <row r="5" spans="2:10" ht="15.75" customHeight="1">
      <c r="B5" s="269" t="s">
        <v>24</v>
      </c>
      <c r="C5" s="183"/>
      <c r="D5" s="196"/>
      <c r="E5" s="196"/>
      <c r="F5" s="196"/>
      <c r="G5" s="196"/>
      <c r="H5" s="196"/>
      <c r="I5" s="196"/>
      <c r="J5" s="197"/>
    </row>
    <row r="6" spans="2:10" ht="15.75" customHeight="1">
      <c r="B6" s="53" t="s">
        <v>27</v>
      </c>
      <c r="C6" s="51"/>
      <c r="D6" s="52"/>
      <c r="E6" s="187"/>
      <c r="F6" s="51"/>
      <c r="G6" s="52"/>
      <c r="H6" s="53" t="s">
        <v>28</v>
      </c>
      <c r="I6" s="51"/>
      <c r="J6" s="52"/>
    </row>
    <row r="7" spans="2:10" ht="15.75" customHeight="1">
      <c r="B7" s="54" t="s">
        <v>54</v>
      </c>
      <c r="C7" s="55"/>
      <c r="D7" s="56"/>
      <c r="E7" s="54" t="s">
        <v>275</v>
      </c>
      <c r="F7" s="55"/>
      <c r="G7" s="56"/>
      <c r="H7" s="54" t="s">
        <v>55</v>
      </c>
      <c r="I7" s="55"/>
      <c r="J7" s="56"/>
    </row>
    <row r="8" spans="1:10" ht="15.75" customHeight="1">
      <c r="A8" s="313"/>
      <c r="B8" s="116"/>
      <c r="C8" s="190"/>
      <c r="D8" s="191" t="s">
        <v>87</v>
      </c>
      <c r="E8" s="58"/>
      <c r="F8" s="59"/>
      <c r="G8" s="191" t="s">
        <v>87</v>
      </c>
      <c r="H8" s="58"/>
      <c r="I8" s="59"/>
      <c r="J8" s="191" t="s">
        <v>87</v>
      </c>
    </row>
    <row r="9" spans="1:10" ht="15.75" customHeight="1">
      <c r="A9" s="314" t="s">
        <v>112</v>
      </c>
      <c r="B9" s="61" t="s">
        <v>113</v>
      </c>
      <c r="C9" s="61" t="s">
        <v>114</v>
      </c>
      <c r="D9" s="61" t="s">
        <v>115</v>
      </c>
      <c r="E9" s="61" t="s">
        <v>113</v>
      </c>
      <c r="F9" s="61" t="s">
        <v>114</v>
      </c>
      <c r="G9" s="61" t="s">
        <v>115</v>
      </c>
      <c r="H9" s="61" t="s">
        <v>113</v>
      </c>
      <c r="I9" s="61" t="s">
        <v>114</v>
      </c>
      <c r="J9" s="61" t="s">
        <v>115</v>
      </c>
    </row>
    <row r="10" ht="4.5" customHeight="1">
      <c r="A10" s="62"/>
    </row>
    <row r="11" spans="1:10" ht="13.5" customHeight="1">
      <c r="A11" s="387" t="s">
        <v>327</v>
      </c>
      <c r="B11" s="362">
        <v>93577</v>
      </c>
      <c r="C11" s="278">
        <f>B11/'- 3 -'!D11</f>
        <v>0.008376261753141158</v>
      </c>
      <c r="D11" s="362">
        <f>B11/'- 7 -'!F11</f>
        <v>57.67457627118644</v>
      </c>
      <c r="E11" s="362">
        <v>0</v>
      </c>
      <c r="F11" s="278">
        <f>E11/'- 3 -'!D11</f>
        <v>0</v>
      </c>
      <c r="G11" s="362">
        <f>E11/'- 7 -'!F11</f>
        <v>0</v>
      </c>
      <c r="H11" s="362">
        <v>141348</v>
      </c>
      <c r="I11" s="278">
        <f>H11/'- 3 -'!D11</f>
        <v>0.012652338141669389</v>
      </c>
      <c r="J11" s="362">
        <f>H11/'- 7 -'!F11</f>
        <v>87.11741140215716</v>
      </c>
    </row>
    <row r="12" spans="1:10" ht="13.5" customHeight="1">
      <c r="A12" s="388" t="s">
        <v>328</v>
      </c>
      <c r="B12" s="361">
        <v>168816</v>
      </c>
      <c r="C12" s="279">
        <f>B12/'- 3 -'!D12</f>
        <v>0.00919650034418236</v>
      </c>
      <c r="D12" s="361">
        <f>B12/'- 7 -'!F12</f>
        <v>71.83965275118089</v>
      </c>
      <c r="E12" s="361">
        <v>12353</v>
      </c>
      <c r="F12" s="279">
        <f>E12/'- 3 -'!D12</f>
        <v>0.0006729478766922844</v>
      </c>
      <c r="G12" s="361">
        <f>E12/'- 7 -'!F12</f>
        <v>5.256819439125069</v>
      </c>
      <c r="H12" s="361">
        <v>448087</v>
      </c>
      <c r="I12" s="279">
        <f>H12/'- 3 -'!D12</f>
        <v>0.024410199564754768</v>
      </c>
      <c r="J12" s="361">
        <f>H12/'- 7 -'!F12</f>
        <v>190.68343333758884</v>
      </c>
    </row>
    <row r="13" spans="1:10" ht="13.5" customHeight="1">
      <c r="A13" s="387" t="s">
        <v>329</v>
      </c>
      <c r="B13" s="362">
        <v>149738</v>
      </c>
      <c r="C13" s="278">
        <f>B13/'- 3 -'!D13</f>
        <v>0.0032179524170790237</v>
      </c>
      <c r="D13" s="362">
        <f>B13/'- 7 -'!F13</f>
        <v>20.531742767036885</v>
      </c>
      <c r="E13" s="362">
        <v>0</v>
      </c>
      <c r="F13" s="278">
        <f>E13/'- 3 -'!D13</f>
        <v>0</v>
      </c>
      <c r="G13" s="362">
        <f>E13/'- 7 -'!F13</f>
        <v>0</v>
      </c>
      <c r="H13" s="362">
        <v>894919</v>
      </c>
      <c r="I13" s="278">
        <f>H13/'- 3 -'!D13</f>
        <v>0.019232304152185437</v>
      </c>
      <c r="J13" s="362">
        <f>H13/'- 7 -'!F13</f>
        <v>122.70931029754558</v>
      </c>
    </row>
    <row r="14" spans="1:10" ht="13.5" customHeight="1">
      <c r="A14" s="388" t="s">
        <v>366</v>
      </c>
      <c r="B14" s="361">
        <v>272580</v>
      </c>
      <c r="C14" s="279">
        <f>B14/'- 3 -'!D14</f>
        <v>0.00690404057340871</v>
      </c>
      <c r="D14" s="361">
        <f>B14/'- 7 -'!F14</f>
        <v>63.69882220975884</v>
      </c>
      <c r="E14" s="361">
        <v>0</v>
      </c>
      <c r="F14" s="279">
        <f>E14/'- 3 -'!D14</f>
        <v>0</v>
      </c>
      <c r="G14" s="361">
        <f>E14/'- 7 -'!F14</f>
        <v>0</v>
      </c>
      <c r="H14" s="361">
        <v>449113</v>
      </c>
      <c r="I14" s="279">
        <f>H14/'- 3 -'!D14</f>
        <v>0.011375355396747031</v>
      </c>
      <c r="J14" s="361">
        <f>H14/'- 7 -'!F14</f>
        <v>104.95256122639746</v>
      </c>
    </row>
    <row r="15" spans="1:10" ht="13.5" customHeight="1">
      <c r="A15" s="387" t="s">
        <v>330</v>
      </c>
      <c r="B15" s="362">
        <v>126208</v>
      </c>
      <c r="C15" s="278">
        <f>B15/'- 3 -'!D15</f>
        <v>0.010051964245948168</v>
      </c>
      <c r="D15" s="362">
        <f>B15/'- 7 -'!F15</f>
        <v>74.8564650059312</v>
      </c>
      <c r="E15" s="362">
        <v>0</v>
      </c>
      <c r="F15" s="278">
        <f>E15/'- 3 -'!D15</f>
        <v>0</v>
      </c>
      <c r="G15" s="362">
        <f>E15/'- 7 -'!F15</f>
        <v>0</v>
      </c>
      <c r="H15" s="362">
        <v>148822</v>
      </c>
      <c r="I15" s="278">
        <f>H15/'- 3 -'!D15</f>
        <v>0.011853079226439673</v>
      </c>
      <c r="J15" s="362">
        <f>H15/'- 7 -'!F15</f>
        <v>88.26927639383156</v>
      </c>
    </row>
    <row r="16" spans="1:10" ht="13.5" customHeight="1">
      <c r="A16" s="388" t="s">
        <v>331</v>
      </c>
      <c r="B16" s="361">
        <v>119941</v>
      </c>
      <c r="C16" s="279">
        <f>B16/'- 3 -'!D16</f>
        <v>0.011122282138991574</v>
      </c>
      <c r="D16" s="361">
        <f>B16/'- 7 -'!F16</f>
        <v>85.11766208697628</v>
      </c>
      <c r="E16" s="361">
        <v>0</v>
      </c>
      <c r="F16" s="279">
        <f>E16/'- 3 -'!D16</f>
        <v>0</v>
      </c>
      <c r="G16" s="361">
        <f>E16/'- 7 -'!F16</f>
        <v>0</v>
      </c>
      <c r="H16" s="361">
        <v>105971</v>
      </c>
      <c r="I16" s="279">
        <f>H16/'- 3 -'!D16</f>
        <v>0.009826826194137751</v>
      </c>
      <c r="J16" s="361">
        <f>H16/'- 7 -'!F16</f>
        <v>75.20367321448848</v>
      </c>
    </row>
    <row r="17" spans="1:10" ht="13.5" customHeight="1">
      <c r="A17" s="387" t="s">
        <v>332</v>
      </c>
      <c r="B17" s="362">
        <v>88485</v>
      </c>
      <c r="C17" s="278">
        <f>B17/'- 3 -'!D17</f>
        <v>0.007188830514536167</v>
      </c>
      <c r="D17" s="362">
        <f>B17/'- 7 -'!F17</f>
        <v>56.33547253418901</v>
      </c>
      <c r="E17" s="362">
        <v>0</v>
      </c>
      <c r="F17" s="278">
        <f>E17/'- 3 -'!D17</f>
        <v>0</v>
      </c>
      <c r="G17" s="362">
        <f>E17/'- 7 -'!F17</f>
        <v>0</v>
      </c>
      <c r="H17" s="362">
        <v>224068</v>
      </c>
      <c r="I17" s="278">
        <f>H17/'- 3 -'!D17</f>
        <v>0.01820406708177759</v>
      </c>
      <c r="J17" s="362">
        <f>H17/'- 7 -'!F17</f>
        <v>142.65668372934016</v>
      </c>
    </row>
    <row r="18" spans="1:10" ht="13.5" customHeight="1">
      <c r="A18" s="388" t="s">
        <v>333</v>
      </c>
      <c r="B18" s="361">
        <v>85491</v>
      </c>
      <c r="C18" s="279">
        <f>B18/'- 3 -'!D18</f>
        <v>0.0011819560021027941</v>
      </c>
      <c r="D18" s="361">
        <f>B18/'- 7 -'!F18</f>
        <v>14.419126328217237</v>
      </c>
      <c r="E18" s="361">
        <v>0</v>
      </c>
      <c r="F18" s="279">
        <f>E18/'- 3 -'!D18</f>
        <v>0</v>
      </c>
      <c r="G18" s="361">
        <f>E18/'- 7 -'!F18</f>
        <v>0</v>
      </c>
      <c r="H18" s="361">
        <v>1710088.22</v>
      </c>
      <c r="I18" s="279">
        <f>H18/'- 3 -'!D18</f>
        <v>0.023642828318235644</v>
      </c>
      <c r="J18" s="361">
        <f>H18/'- 7 -'!F18</f>
        <v>288.4277652217912</v>
      </c>
    </row>
    <row r="19" spans="1:10" ht="13.5" customHeight="1">
      <c r="A19" s="387" t="s">
        <v>334</v>
      </c>
      <c r="B19" s="362">
        <v>95835</v>
      </c>
      <c r="C19" s="278">
        <f>B19/'- 3 -'!D19</f>
        <v>0.005420339141799714</v>
      </c>
      <c r="D19" s="362">
        <f>B19/'- 7 -'!F19</f>
        <v>32.738359580500806</v>
      </c>
      <c r="E19" s="362">
        <v>18121</v>
      </c>
      <c r="F19" s="278">
        <f>E19/'- 3 -'!D19</f>
        <v>0.001024907033845178</v>
      </c>
      <c r="G19" s="362">
        <f>E19/'- 7 -'!F19</f>
        <v>6.190346052676529</v>
      </c>
      <c r="H19" s="362">
        <v>249380</v>
      </c>
      <c r="I19" s="278">
        <f>H19/'- 3 -'!D19</f>
        <v>0.014104702615766816</v>
      </c>
      <c r="J19" s="362">
        <f>H19/'- 7 -'!F19</f>
        <v>85.191131759642</v>
      </c>
    </row>
    <row r="20" spans="1:10" ht="13.5" customHeight="1">
      <c r="A20" s="388" t="s">
        <v>335</v>
      </c>
      <c r="B20" s="361">
        <v>212633</v>
      </c>
      <c r="C20" s="279">
        <f>B20/'- 3 -'!D20</f>
        <v>0.006359102542707935</v>
      </c>
      <c r="D20" s="361">
        <f>B20/'- 7 -'!F20</f>
        <v>34.73827805914066</v>
      </c>
      <c r="E20" s="361">
        <v>3759</v>
      </c>
      <c r="F20" s="279">
        <f>E20/'- 3 -'!D20</f>
        <v>0.00011241842262508232</v>
      </c>
      <c r="G20" s="361">
        <f>E20/'- 7 -'!F20</f>
        <v>0.6141153406306159</v>
      </c>
      <c r="H20" s="361">
        <v>457520</v>
      </c>
      <c r="I20" s="279">
        <f>H20/'- 3 -'!D20</f>
        <v>0.013682808385056575</v>
      </c>
      <c r="J20" s="361">
        <f>H20/'- 7 -'!F20</f>
        <v>74.74595654304852</v>
      </c>
    </row>
    <row r="21" spans="1:10" ht="13.5" customHeight="1">
      <c r="A21" s="387" t="s">
        <v>336</v>
      </c>
      <c r="B21" s="362">
        <v>93403</v>
      </c>
      <c r="C21" s="278">
        <f>B21/'- 3 -'!D21</f>
        <v>0.004015023788036937</v>
      </c>
      <c r="D21" s="362">
        <f>B21/'- 7 -'!F21</f>
        <v>28.223545053484013</v>
      </c>
      <c r="E21" s="362">
        <v>0</v>
      </c>
      <c r="F21" s="278">
        <f>E21/'- 3 -'!D21</f>
        <v>0</v>
      </c>
      <c r="G21" s="362">
        <f>E21/'- 7 -'!F21</f>
        <v>0</v>
      </c>
      <c r="H21" s="362">
        <v>294025</v>
      </c>
      <c r="I21" s="278">
        <f>H21/'- 3 -'!D21</f>
        <v>0.012638966299557408</v>
      </c>
      <c r="J21" s="362">
        <f>H21/'- 7 -'!F21</f>
        <v>88.84541004411676</v>
      </c>
    </row>
    <row r="22" spans="1:10" ht="13.5" customHeight="1">
      <c r="A22" s="388" t="s">
        <v>337</v>
      </c>
      <c r="B22" s="361">
        <v>91767</v>
      </c>
      <c r="C22" s="279">
        <f>B22/'- 3 -'!D22</f>
        <v>0.007167826910496871</v>
      </c>
      <c r="D22" s="361">
        <f>B22/'- 7 -'!F22</f>
        <v>54.3</v>
      </c>
      <c r="E22" s="361">
        <v>0</v>
      </c>
      <c r="F22" s="279">
        <f>E22/'- 3 -'!D22</f>
        <v>0</v>
      </c>
      <c r="G22" s="361">
        <f>E22/'- 7 -'!F22</f>
        <v>0</v>
      </c>
      <c r="H22" s="361">
        <v>102163</v>
      </c>
      <c r="I22" s="279">
        <f>H22/'- 3 -'!D22</f>
        <v>0.007979847882758418</v>
      </c>
      <c r="J22" s="361">
        <f>H22/'- 7 -'!F22</f>
        <v>60.45147928994083</v>
      </c>
    </row>
    <row r="23" spans="1:10" ht="13.5" customHeight="1">
      <c r="A23" s="387" t="s">
        <v>338</v>
      </c>
      <c r="B23" s="362">
        <v>80064</v>
      </c>
      <c r="C23" s="278">
        <f>B23/'- 3 -'!D23</f>
        <v>0.007479253954133333</v>
      </c>
      <c r="D23" s="362">
        <f>B23/'- 7 -'!F23</f>
        <v>58.39399022682518</v>
      </c>
      <c r="E23" s="362">
        <v>0</v>
      </c>
      <c r="F23" s="278">
        <f>E23/'- 3 -'!D23</f>
        <v>0</v>
      </c>
      <c r="G23" s="362">
        <f>E23/'- 7 -'!F23</f>
        <v>0</v>
      </c>
      <c r="H23" s="362">
        <v>169566</v>
      </c>
      <c r="I23" s="278">
        <f>H23/'- 3 -'!D23</f>
        <v>0.015840167565779537</v>
      </c>
      <c r="J23" s="362">
        <f>H23/'- 7 -'!F23</f>
        <v>123.67150463131793</v>
      </c>
    </row>
    <row r="24" spans="1:10" ht="13.5" customHeight="1">
      <c r="A24" s="388" t="s">
        <v>339</v>
      </c>
      <c r="B24" s="361">
        <v>129827.41</v>
      </c>
      <c r="C24" s="279">
        <f>B24/'- 3 -'!D24</f>
        <v>0.003893727063496008</v>
      </c>
      <c r="D24" s="361">
        <f>B24/'- 7 -'!F24</f>
        <v>28.15174664440445</v>
      </c>
      <c r="E24" s="361">
        <v>7442</v>
      </c>
      <c r="F24" s="279">
        <f>E24/'- 3 -'!D24</f>
        <v>0.0002231972185730062</v>
      </c>
      <c r="G24" s="361">
        <f>E24/'- 7 -'!F24</f>
        <v>1.6137216210941736</v>
      </c>
      <c r="H24" s="361">
        <v>658863</v>
      </c>
      <c r="I24" s="279">
        <f>H24/'- 3 -'!D24</f>
        <v>0.019760331768431415</v>
      </c>
      <c r="J24" s="361">
        <f>H24/'- 7 -'!F24</f>
        <v>142.8677060519982</v>
      </c>
    </row>
    <row r="25" spans="1:10" ht="13.5" customHeight="1">
      <c r="A25" s="387" t="s">
        <v>340</v>
      </c>
      <c r="B25" s="362">
        <v>374108</v>
      </c>
      <c r="C25" s="278">
        <f>B25/'- 3 -'!D25</f>
        <v>0.003615381675296865</v>
      </c>
      <c r="D25" s="362">
        <f>B25/'- 7 -'!F25</f>
        <v>25.1261316927706</v>
      </c>
      <c r="E25" s="362">
        <v>147077</v>
      </c>
      <c r="F25" s="278">
        <f>E25/'- 3 -'!D25</f>
        <v>0.0014213528998514788</v>
      </c>
      <c r="G25" s="362">
        <f>E25/'- 7 -'!F25</f>
        <v>9.878099562098702</v>
      </c>
      <c r="H25" s="362">
        <v>2030280</v>
      </c>
      <c r="I25" s="278">
        <f>H25/'- 3 -'!D25</f>
        <v>0.019620636574790486</v>
      </c>
      <c r="J25" s="362">
        <f>H25/'- 7 -'!F25</f>
        <v>136.35924025468123</v>
      </c>
    </row>
    <row r="26" spans="1:10" ht="13.5" customHeight="1">
      <c r="A26" s="388" t="s">
        <v>341</v>
      </c>
      <c r="B26" s="361">
        <v>276004.37</v>
      </c>
      <c r="C26" s="279">
        <f>B26/'- 3 -'!D26</f>
        <v>0.010691066594589103</v>
      </c>
      <c r="D26" s="361">
        <f>B26/'- 7 -'!F26</f>
        <v>82.38936417910448</v>
      </c>
      <c r="E26" s="361">
        <v>1660.42</v>
      </c>
      <c r="F26" s="279">
        <f>E26/'- 3 -'!D26</f>
        <v>6.43165932299827E-05</v>
      </c>
      <c r="G26" s="361">
        <f>E26/'- 7 -'!F26</f>
        <v>0.49564776119402987</v>
      </c>
      <c r="H26" s="361">
        <v>308769.03</v>
      </c>
      <c r="I26" s="279">
        <f>H26/'- 3 -'!D26</f>
        <v>0.0119602101302841</v>
      </c>
      <c r="J26" s="361">
        <f>H26/'- 7 -'!F26</f>
        <v>92.16985970149254</v>
      </c>
    </row>
    <row r="27" spans="1:10" ht="13.5" customHeight="1">
      <c r="A27" s="387" t="s">
        <v>342</v>
      </c>
      <c r="B27" s="362">
        <v>146082</v>
      </c>
      <c r="C27" s="278">
        <f>B27/'- 3 -'!D27</f>
        <v>0.005686262504069137</v>
      </c>
      <c r="D27" s="362">
        <f>B27/'- 7 -'!F27</f>
        <v>44.02314438115903</v>
      </c>
      <c r="E27" s="362">
        <v>0</v>
      </c>
      <c r="F27" s="278">
        <f>E27/'- 3 -'!D27</f>
        <v>0</v>
      </c>
      <c r="G27" s="362">
        <f>E27/'- 7 -'!F27</f>
        <v>0</v>
      </c>
      <c r="H27" s="362">
        <v>372582</v>
      </c>
      <c r="I27" s="278">
        <f>H27/'- 3 -'!D27</f>
        <v>0.014502807028183398</v>
      </c>
      <c r="J27" s="362">
        <f>H27/'- 7 -'!F27</f>
        <v>112.28098725250882</v>
      </c>
    </row>
    <row r="28" spans="1:10" ht="13.5" customHeight="1">
      <c r="A28" s="388" t="s">
        <v>343</v>
      </c>
      <c r="B28" s="361">
        <v>91698.11</v>
      </c>
      <c r="C28" s="279">
        <f>B28/'- 3 -'!D28</f>
        <v>0.005698042622115494</v>
      </c>
      <c r="D28" s="361">
        <f>B28/'- 7 -'!F28</f>
        <v>42.825569773958534</v>
      </c>
      <c r="E28" s="361">
        <v>0</v>
      </c>
      <c r="F28" s="279">
        <f>E28/'- 3 -'!D28</f>
        <v>0</v>
      </c>
      <c r="G28" s="361">
        <f>E28/'- 7 -'!F28</f>
        <v>0</v>
      </c>
      <c r="H28" s="361">
        <v>165839</v>
      </c>
      <c r="I28" s="279">
        <f>H28/'- 3 -'!D28</f>
        <v>0.010305094515132444</v>
      </c>
      <c r="J28" s="361">
        <f>H28/'- 7 -'!F28</f>
        <v>77.45142910517467</v>
      </c>
    </row>
    <row r="29" spans="1:10" ht="13.5" customHeight="1">
      <c r="A29" s="387" t="s">
        <v>344</v>
      </c>
      <c r="B29" s="362">
        <v>537903</v>
      </c>
      <c r="C29" s="278">
        <f>B29/'- 3 -'!D29</f>
        <v>0.005511540157032832</v>
      </c>
      <c r="D29" s="362">
        <f>B29/'- 7 -'!F29</f>
        <v>41.13068611933109</v>
      </c>
      <c r="E29" s="362">
        <v>403313</v>
      </c>
      <c r="F29" s="278">
        <f>E29/'- 3 -'!D29</f>
        <v>0.004132484472764388</v>
      </c>
      <c r="G29" s="362">
        <f>E29/'- 7 -'!F29</f>
        <v>30.839278477431392</v>
      </c>
      <c r="H29" s="362">
        <v>1683737</v>
      </c>
      <c r="I29" s="278">
        <f>H29/'- 3 -'!D29</f>
        <v>0.01725215157636598</v>
      </c>
      <c r="J29" s="362">
        <f>H29/'- 7 -'!F29</f>
        <v>128.7467406846665</v>
      </c>
    </row>
    <row r="30" spans="1:10" ht="13.5" customHeight="1">
      <c r="A30" s="388" t="s">
        <v>345</v>
      </c>
      <c r="B30" s="361">
        <v>95207</v>
      </c>
      <c r="C30" s="279">
        <f>B30/'- 3 -'!D30</f>
        <v>0.009881423335133723</v>
      </c>
      <c r="D30" s="361">
        <f>B30/'- 7 -'!F30</f>
        <v>74.22968969281148</v>
      </c>
      <c r="E30" s="361">
        <v>0</v>
      </c>
      <c r="F30" s="279">
        <f>E30/'- 3 -'!D30</f>
        <v>0</v>
      </c>
      <c r="G30" s="361">
        <f>E30/'- 7 -'!F30</f>
        <v>0</v>
      </c>
      <c r="H30" s="361">
        <v>212307</v>
      </c>
      <c r="I30" s="279">
        <f>H30/'- 3 -'!D30</f>
        <v>0.022035095570832348</v>
      </c>
      <c r="J30" s="361">
        <f>H30/'- 7 -'!F30</f>
        <v>165.5286137533136</v>
      </c>
    </row>
    <row r="31" spans="1:10" ht="13.5" customHeight="1">
      <c r="A31" s="387" t="s">
        <v>346</v>
      </c>
      <c r="B31" s="362">
        <v>97747</v>
      </c>
      <c r="C31" s="278">
        <f>B31/'- 3 -'!D31</f>
        <v>0.004006822998910684</v>
      </c>
      <c r="D31" s="362">
        <f>B31/'- 7 -'!F31</f>
        <v>29.045553145336225</v>
      </c>
      <c r="E31" s="362">
        <v>660</v>
      </c>
      <c r="F31" s="278">
        <f>E31/'- 3 -'!D31</f>
        <v>2.7054571283835327E-05</v>
      </c>
      <c r="G31" s="362">
        <f>E31/'- 7 -'!F31</f>
        <v>0.19611921671173446</v>
      </c>
      <c r="H31" s="362">
        <v>444585</v>
      </c>
      <c r="I31" s="278">
        <f>H31/'- 3 -'!D31</f>
        <v>0.018224328142763528</v>
      </c>
      <c r="J31" s="362">
        <f>H31/'- 7 -'!F31</f>
        <v>132.10857872997948</v>
      </c>
    </row>
    <row r="32" spans="1:10" ht="13.5" customHeight="1">
      <c r="A32" s="388" t="s">
        <v>347</v>
      </c>
      <c r="B32" s="361">
        <v>151122</v>
      </c>
      <c r="C32" s="279">
        <f>B32/'- 3 -'!D32</f>
        <v>0.008313488754053817</v>
      </c>
      <c r="D32" s="361">
        <f>B32/'- 7 -'!F32</f>
        <v>64.30723404255319</v>
      </c>
      <c r="E32" s="361">
        <v>4000</v>
      </c>
      <c r="F32" s="279">
        <f>E32/'- 3 -'!D32</f>
        <v>0.0002200470812735093</v>
      </c>
      <c r="G32" s="361">
        <f>E32/'- 7 -'!F32</f>
        <v>1.702127659574468</v>
      </c>
      <c r="H32" s="361">
        <v>203375</v>
      </c>
      <c r="I32" s="279">
        <f>H32/'- 3 -'!D32</f>
        <v>0.011188018788499987</v>
      </c>
      <c r="J32" s="361">
        <f>H32/'- 7 -'!F32</f>
        <v>86.54255319148936</v>
      </c>
    </row>
    <row r="33" spans="1:10" ht="13.5" customHeight="1">
      <c r="A33" s="387" t="s">
        <v>348</v>
      </c>
      <c r="B33" s="362">
        <v>152288</v>
      </c>
      <c r="C33" s="278">
        <f>B33/'- 3 -'!D33</f>
        <v>0.0070253610607387326</v>
      </c>
      <c r="D33" s="362">
        <f>B33/'- 7 -'!F33</f>
        <v>61.08379126388834</v>
      </c>
      <c r="E33" s="362">
        <v>0</v>
      </c>
      <c r="F33" s="278">
        <f>E33/'- 3 -'!D33</f>
        <v>0</v>
      </c>
      <c r="G33" s="362">
        <f>E33/'- 7 -'!F33</f>
        <v>0</v>
      </c>
      <c r="H33" s="362">
        <v>217609</v>
      </c>
      <c r="I33" s="278">
        <f>H33/'- 3 -'!D33</f>
        <v>0.01003875417016636</v>
      </c>
      <c r="J33" s="362">
        <f>H33/'- 7 -'!F33</f>
        <v>87.28450523444708</v>
      </c>
    </row>
    <row r="34" spans="1:10" ht="13.5" customHeight="1">
      <c r="A34" s="388" t="s">
        <v>349</v>
      </c>
      <c r="B34" s="361">
        <v>102678</v>
      </c>
      <c r="C34" s="279">
        <f>B34/'- 3 -'!D34</f>
        <v>0.006248562575925576</v>
      </c>
      <c r="D34" s="361">
        <f>B34/'- 7 -'!F34</f>
        <v>46.41862567811935</v>
      </c>
      <c r="E34" s="361">
        <v>0</v>
      </c>
      <c r="F34" s="279">
        <f>E34/'- 3 -'!D34</f>
        <v>0</v>
      </c>
      <c r="G34" s="361">
        <f>E34/'- 7 -'!F34</f>
        <v>0</v>
      </c>
      <c r="H34" s="361">
        <v>223756</v>
      </c>
      <c r="I34" s="279">
        <f>H34/'- 3 -'!D34</f>
        <v>0.013616873797101652</v>
      </c>
      <c r="J34" s="361">
        <f>H34/'- 7 -'!F34</f>
        <v>101.15551537070525</v>
      </c>
    </row>
    <row r="35" spans="1:10" ht="13.5" customHeight="1">
      <c r="A35" s="387" t="s">
        <v>350</v>
      </c>
      <c r="B35" s="362">
        <v>437361</v>
      </c>
      <c r="C35" s="278">
        <f>B35/'- 3 -'!D35</f>
        <v>0.0035739649084288398</v>
      </c>
      <c r="D35" s="362">
        <f>B35/'- 7 -'!F35</f>
        <v>24.546434163780958</v>
      </c>
      <c r="E35" s="362">
        <v>0</v>
      </c>
      <c r="F35" s="278">
        <f>E35/'- 3 -'!D35</f>
        <v>0</v>
      </c>
      <c r="G35" s="362">
        <f>E35/'- 7 -'!F35</f>
        <v>0</v>
      </c>
      <c r="H35" s="362">
        <v>2322713</v>
      </c>
      <c r="I35" s="278">
        <f>H35/'- 3 -'!D35</f>
        <v>0.01898041836000804</v>
      </c>
      <c r="J35" s="362">
        <f>H35/'- 7 -'!F35</f>
        <v>130.35986687395118</v>
      </c>
    </row>
    <row r="36" spans="1:10" ht="13.5" customHeight="1">
      <c r="A36" s="388" t="s">
        <v>351</v>
      </c>
      <c r="B36" s="361">
        <v>117745</v>
      </c>
      <c r="C36" s="279">
        <f>B36/'- 3 -'!D36</f>
        <v>0.007395236762827669</v>
      </c>
      <c r="D36" s="361">
        <f>B36/'- 7 -'!F36</f>
        <v>55.435499058380415</v>
      </c>
      <c r="E36" s="361">
        <v>0</v>
      </c>
      <c r="F36" s="279">
        <f>E36/'- 3 -'!D36</f>
        <v>0</v>
      </c>
      <c r="G36" s="361">
        <f>E36/'- 7 -'!F36</f>
        <v>0</v>
      </c>
      <c r="H36" s="361">
        <v>134950</v>
      </c>
      <c r="I36" s="279">
        <f>H36/'- 3 -'!D36</f>
        <v>0.00847583507701893</v>
      </c>
      <c r="J36" s="361">
        <f>H36/'- 7 -'!F36</f>
        <v>63.53578154425612</v>
      </c>
    </row>
    <row r="37" spans="1:10" ht="13.5" customHeight="1">
      <c r="A37" s="387" t="s">
        <v>352</v>
      </c>
      <c r="B37" s="362">
        <v>140234</v>
      </c>
      <c r="C37" s="278">
        <f>B37/'- 3 -'!D37</f>
        <v>0.005995435082893301</v>
      </c>
      <c r="D37" s="362">
        <f>B37/'- 7 -'!F37</f>
        <v>41.488121653205525</v>
      </c>
      <c r="E37" s="362">
        <v>0</v>
      </c>
      <c r="F37" s="278">
        <f>E37/'- 3 -'!D37</f>
        <v>0</v>
      </c>
      <c r="G37" s="362">
        <f>E37/'- 7 -'!F37</f>
        <v>0</v>
      </c>
      <c r="H37" s="362">
        <v>358915</v>
      </c>
      <c r="I37" s="278">
        <f>H37/'- 3 -'!D37</f>
        <v>0.015344720843566105</v>
      </c>
      <c r="J37" s="362">
        <f>H37/'- 7 -'!F37</f>
        <v>106.18472826247745</v>
      </c>
    </row>
    <row r="38" spans="1:10" ht="13.5" customHeight="1">
      <c r="A38" s="388" t="s">
        <v>353</v>
      </c>
      <c r="B38" s="361">
        <v>220680</v>
      </c>
      <c r="C38" s="279">
        <f>B38/'- 3 -'!D38</f>
        <v>0.003585927232150456</v>
      </c>
      <c r="D38" s="361">
        <f>B38/'- 7 -'!F38</f>
        <v>25.890772569953658</v>
      </c>
      <c r="E38" s="361">
        <v>0</v>
      </c>
      <c r="F38" s="279">
        <f>E38/'- 3 -'!D38</f>
        <v>0</v>
      </c>
      <c r="G38" s="361">
        <f>E38/'- 7 -'!F38</f>
        <v>0</v>
      </c>
      <c r="H38" s="361">
        <v>1070032</v>
      </c>
      <c r="I38" s="279">
        <f>H38/'- 3 -'!D38</f>
        <v>0.01738742472390981</v>
      </c>
      <c r="J38" s="361">
        <f>H38/'- 7 -'!F38</f>
        <v>125.53903912711914</v>
      </c>
    </row>
    <row r="39" spans="1:10" ht="13.5" customHeight="1">
      <c r="A39" s="387" t="s">
        <v>354</v>
      </c>
      <c r="B39" s="362">
        <v>185626</v>
      </c>
      <c r="C39" s="278">
        <f>B39/'- 3 -'!D39</f>
        <v>0.012643700828737831</v>
      </c>
      <c r="D39" s="362">
        <f>B39/'- 7 -'!F39</f>
        <v>102.61249309010503</v>
      </c>
      <c r="E39" s="362">
        <v>1934</v>
      </c>
      <c r="F39" s="278">
        <f>E39/'- 3 -'!D39</f>
        <v>0.00013173217869683645</v>
      </c>
      <c r="G39" s="362">
        <f>E39/'- 7 -'!F39</f>
        <v>1.0690989496959646</v>
      </c>
      <c r="H39" s="362">
        <v>207948</v>
      </c>
      <c r="I39" s="278">
        <f>H39/'- 3 -'!D39</f>
        <v>0.014164138105299765</v>
      </c>
      <c r="J39" s="362">
        <f>H39/'- 7 -'!F39</f>
        <v>114.95190713101161</v>
      </c>
    </row>
    <row r="40" spans="1:10" ht="13.5" customHeight="1">
      <c r="A40" s="388" t="s">
        <v>355</v>
      </c>
      <c r="B40" s="361">
        <v>266291</v>
      </c>
      <c r="C40" s="279">
        <f>B40/'- 3 -'!D40</f>
        <v>0.004290092141179702</v>
      </c>
      <c r="D40" s="361">
        <f>B40/'- 7 -'!F40</f>
        <v>29.200655748490853</v>
      </c>
      <c r="E40" s="361">
        <v>86959</v>
      </c>
      <c r="F40" s="279">
        <f>E40/'- 3 -'!D40</f>
        <v>0.0014009565569427646</v>
      </c>
      <c r="G40" s="361">
        <f>E40/'- 7 -'!F40</f>
        <v>9.535657694901502</v>
      </c>
      <c r="H40" s="361">
        <v>1396562</v>
      </c>
      <c r="I40" s="279">
        <f>H40/'- 3 -'!D40</f>
        <v>0.022499369715349774</v>
      </c>
      <c r="J40" s="361">
        <f>H40/'- 7 -'!F40</f>
        <v>153.14271302230972</v>
      </c>
    </row>
    <row r="41" spans="1:10" ht="13.5" customHeight="1">
      <c r="A41" s="387" t="s">
        <v>356</v>
      </c>
      <c r="B41" s="362">
        <v>117739</v>
      </c>
      <c r="C41" s="278">
        <f>B41/'- 3 -'!D41</f>
        <v>0.003134820943731829</v>
      </c>
      <c r="D41" s="362">
        <f>B41/'- 7 -'!F41</f>
        <v>23.95113714959925</v>
      </c>
      <c r="E41" s="362">
        <v>156961</v>
      </c>
      <c r="F41" s="278">
        <f>E41/'- 3 -'!D41</f>
        <v>0.004179113379161464</v>
      </c>
      <c r="G41" s="362">
        <f>E41/'- 7 -'!F41</f>
        <v>31.929899507709834</v>
      </c>
      <c r="H41" s="362">
        <v>357180</v>
      </c>
      <c r="I41" s="278">
        <f>H41/'- 3 -'!D41</f>
        <v>0.009509978381692851</v>
      </c>
      <c r="J41" s="362">
        <f>H41/'- 7 -'!F41</f>
        <v>72.65958745270352</v>
      </c>
    </row>
    <row r="42" spans="1:10" ht="13.5" customHeight="1">
      <c r="A42" s="388" t="s">
        <v>357</v>
      </c>
      <c r="B42" s="361">
        <v>106648</v>
      </c>
      <c r="C42" s="279">
        <f>B42/'- 3 -'!D42</f>
        <v>0.007334776336364227</v>
      </c>
      <c r="D42" s="361">
        <f>B42/'- 7 -'!F42</f>
        <v>56.718608732649045</v>
      </c>
      <c r="E42" s="361">
        <v>0</v>
      </c>
      <c r="F42" s="279">
        <f>E42/'- 3 -'!D42</f>
        <v>0</v>
      </c>
      <c r="G42" s="361">
        <f>E42/'- 7 -'!F42</f>
        <v>0</v>
      </c>
      <c r="H42" s="361">
        <v>195672</v>
      </c>
      <c r="I42" s="279">
        <f>H42/'- 3 -'!D42</f>
        <v>0.013457452134958563</v>
      </c>
      <c r="J42" s="361">
        <f>H42/'- 7 -'!F42</f>
        <v>104.0642450672765</v>
      </c>
    </row>
    <row r="43" spans="1:10" ht="13.5" customHeight="1">
      <c r="A43" s="387" t="s">
        <v>358</v>
      </c>
      <c r="B43" s="362">
        <v>122158</v>
      </c>
      <c r="C43" s="278">
        <f>B43/'- 3 -'!D43</f>
        <v>0.013402525258786747</v>
      </c>
      <c r="D43" s="362">
        <f>B43/'- 7 -'!F43</f>
        <v>100.21164889253487</v>
      </c>
      <c r="E43" s="362">
        <v>1250</v>
      </c>
      <c r="F43" s="278">
        <f>E43/'- 3 -'!D43</f>
        <v>0.0001371433436490728</v>
      </c>
      <c r="G43" s="362">
        <f>E43/'- 7 -'!F43</f>
        <v>1.0254306808859721</v>
      </c>
      <c r="H43" s="362">
        <v>106191</v>
      </c>
      <c r="I43" s="278">
        <f>H43/'- 3 -'!D43</f>
        <v>0.011650711044350951</v>
      </c>
      <c r="J43" s="362">
        <f>H43/'- 7 -'!F43</f>
        <v>87.11320754716981</v>
      </c>
    </row>
    <row r="44" spans="1:10" ht="13.5" customHeight="1">
      <c r="A44" s="388" t="s">
        <v>359</v>
      </c>
      <c r="B44" s="361">
        <v>65972.63</v>
      </c>
      <c r="C44" s="279">
        <f>B44/'- 3 -'!D44</f>
        <v>0.010079411011608903</v>
      </c>
      <c r="D44" s="361">
        <f>B44/'- 7 -'!F44</f>
        <v>80.60186927306049</v>
      </c>
      <c r="E44" s="361">
        <v>0</v>
      </c>
      <c r="F44" s="279">
        <f>E44/'- 3 -'!D44</f>
        <v>0</v>
      </c>
      <c r="G44" s="361">
        <f>E44/'- 7 -'!F44</f>
        <v>0</v>
      </c>
      <c r="H44" s="361">
        <v>58844</v>
      </c>
      <c r="I44" s="279">
        <f>H44/'- 3 -'!D44</f>
        <v>0.008990286753265925</v>
      </c>
      <c r="J44" s="361">
        <f>H44/'- 7 -'!F44</f>
        <v>71.89248625534515</v>
      </c>
    </row>
    <row r="45" spans="1:10" ht="13.5" customHeight="1">
      <c r="A45" s="387" t="s">
        <v>360</v>
      </c>
      <c r="B45" s="362">
        <v>59245</v>
      </c>
      <c r="C45" s="278">
        <f>B45/'- 3 -'!D45</f>
        <v>0.005991121268505785</v>
      </c>
      <c r="D45" s="362">
        <f>B45/'- 7 -'!F45</f>
        <v>40.63443072702332</v>
      </c>
      <c r="E45" s="362">
        <v>0</v>
      </c>
      <c r="F45" s="278">
        <f>E45/'- 3 -'!D45</f>
        <v>0</v>
      </c>
      <c r="G45" s="362">
        <f>E45/'- 7 -'!F45</f>
        <v>0</v>
      </c>
      <c r="H45" s="362">
        <v>112419</v>
      </c>
      <c r="I45" s="278">
        <f>H45/'- 3 -'!D45</f>
        <v>0.011368315670253216</v>
      </c>
      <c r="J45" s="362">
        <f>H45/'- 7 -'!F45</f>
        <v>77.10493827160494</v>
      </c>
    </row>
    <row r="46" spans="1:10" ht="13.5" customHeight="1">
      <c r="A46" s="388" t="s">
        <v>361</v>
      </c>
      <c r="B46" s="361">
        <v>1540096</v>
      </c>
      <c r="C46" s="279">
        <f>B46/'- 3 -'!D46</f>
        <v>0.006146406726904243</v>
      </c>
      <c r="D46" s="361">
        <f>B46/'- 7 -'!F46</f>
        <v>49.96580475618856</v>
      </c>
      <c r="E46" s="361">
        <v>64500</v>
      </c>
      <c r="F46" s="279">
        <f>E46/'- 3 -'!D46</f>
        <v>0.0002574146247281492</v>
      </c>
      <c r="G46" s="361">
        <f>E46/'- 7 -'!F46</f>
        <v>2.092593193394543</v>
      </c>
      <c r="H46" s="361">
        <v>7047863</v>
      </c>
      <c r="I46" s="279">
        <f>H46/'- 3 -'!D46</f>
        <v>0.02812748851597531</v>
      </c>
      <c r="J46" s="361">
        <f>H46/'- 7 -'!F46</f>
        <v>228.65597119034487</v>
      </c>
    </row>
    <row r="47" spans="1:10" ht="13.5" customHeight="1">
      <c r="A47" s="387" t="s">
        <v>365</v>
      </c>
      <c r="B47" s="362">
        <v>0</v>
      </c>
      <c r="C47" s="278">
        <f>B47/'- 3 -'!D47</f>
        <v>0</v>
      </c>
      <c r="D47" s="362">
        <f>B47/'- 7 -'!F47</f>
        <v>0</v>
      </c>
      <c r="E47" s="362">
        <v>0</v>
      </c>
      <c r="F47" s="278">
        <f>E47/'- 3 -'!D47</f>
        <v>0</v>
      </c>
      <c r="G47" s="362">
        <f>E47/'- 7 -'!F47</f>
        <v>0</v>
      </c>
      <c r="H47" s="362">
        <v>0</v>
      </c>
      <c r="I47" s="278">
        <f>H47/'- 3 -'!D47</f>
        <v>0</v>
      </c>
      <c r="J47" s="362">
        <f>H47/'- 7 -'!F47</f>
        <v>0</v>
      </c>
    </row>
    <row r="48" spans="1:10" ht="4.5" customHeight="1">
      <c r="A48" s="389"/>
      <c r="B48" s="322"/>
      <c r="C48" s="162"/>
      <c r="D48" s="322"/>
      <c r="E48" s="322"/>
      <c r="F48" s="162"/>
      <c r="G48" s="322"/>
      <c r="H48" s="322"/>
      <c r="I48" s="162"/>
      <c r="J48" s="322"/>
    </row>
    <row r="49" spans="1:10" ht="13.5" customHeight="1">
      <c r="A49" s="383" t="s">
        <v>362</v>
      </c>
      <c r="B49" s="363">
        <f>SUM(B11:B47)</f>
        <v>7212998.5200000005</v>
      </c>
      <c r="C49" s="81">
        <f>B49/'- 3 -'!D49</f>
        <v>0.005352883680302745</v>
      </c>
      <c r="D49" s="363">
        <f>B49/'- 7 -'!F49</f>
        <v>40.261323674037165</v>
      </c>
      <c r="E49" s="363">
        <f>SUM(E11:E47)</f>
        <v>909989.42</v>
      </c>
      <c r="F49" s="81">
        <f>E49/'- 3 -'!D49</f>
        <v>0.0006753179696432491</v>
      </c>
      <c r="G49" s="363">
        <f>E49/'- 7 -'!F49</f>
        <v>5.079354789410015</v>
      </c>
      <c r="H49" s="363">
        <f>SUM(H11:H47)</f>
        <v>25286061.25</v>
      </c>
      <c r="I49" s="81">
        <f>H49/'- 3 -'!D49</f>
        <v>0.018765197889470887</v>
      </c>
      <c r="J49" s="363">
        <f>H49/'- 7 -'!F49</f>
        <v>141.14106548129152</v>
      </c>
    </row>
    <row r="50" spans="1:10" ht="4.5" customHeight="1">
      <c r="A50" s="389" t="s">
        <v>15</v>
      </c>
      <c r="B50" s="322"/>
      <c r="C50" s="162"/>
      <c r="D50" s="322"/>
      <c r="E50" s="322"/>
      <c r="F50" s="162"/>
      <c r="G50" s="9"/>
      <c r="H50" s="322"/>
      <c r="I50" s="162"/>
      <c r="J50" s="322"/>
    </row>
    <row r="51" spans="1:10" ht="13.5" customHeight="1">
      <c r="A51" s="388" t="s">
        <v>363</v>
      </c>
      <c r="B51" s="361">
        <v>0</v>
      </c>
      <c r="C51" s="279">
        <f>B51/'- 3 -'!D51</f>
        <v>0</v>
      </c>
      <c r="D51" s="361">
        <f>B51/'- 7 -'!F51</f>
        <v>0</v>
      </c>
      <c r="E51" s="361">
        <v>31781</v>
      </c>
      <c r="F51" s="279">
        <f>E51/'- 3 -'!D51</f>
        <v>0.025155455506797618</v>
      </c>
      <c r="G51" s="8">
        <f>E51/'- 7 -'!F51</f>
        <v>207.718954248366</v>
      </c>
      <c r="H51" s="361">
        <v>34578</v>
      </c>
      <c r="I51" s="279">
        <f>H51/'- 3 -'!D51</f>
        <v>0.02736935088619137</v>
      </c>
      <c r="J51" s="361">
        <f>H51/'- 7 -'!F51</f>
        <v>226</v>
      </c>
    </row>
    <row r="52" spans="1:10" ht="13.5" customHeight="1">
      <c r="A52" s="387" t="s">
        <v>364</v>
      </c>
      <c r="B52" s="362">
        <v>32325</v>
      </c>
      <c r="C52" s="278">
        <f>B52/'- 3 -'!D52</f>
        <v>0.01355596569428561</v>
      </c>
      <c r="D52" s="362">
        <f>B52/'- 7 -'!F52</f>
        <v>118.4065934065934</v>
      </c>
      <c r="E52" s="362">
        <v>0</v>
      </c>
      <c r="F52" s="278">
        <f>E52/'- 3 -'!D52</f>
        <v>0</v>
      </c>
      <c r="G52" s="7">
        <f>E52/'- 7 -'!F52</f>
        <v>0</v>
      </c>
      <c r="H52" s="362">
        <v>35064</v>
      </c>
      <c r="I52" s="278">
        <f>H52/'- 3 -'!D52</f>
        <v>0.01470460575729097</v>
      </c>
      <c r="J52" s="362">
        <f>H52/'- 7 -'!F52</f>
        <v>128.43956043956044</v>
      </c>
    </row>
    <row r="53" spans="1:10" ht="49.5" customHeight="1">
      <c r="A53" s="324"/>
      <c r="B53" s="324"/>
      <c r="C53" s="324"/>
      <c r="D53" s="324"/>
      <c r="E53" s="324"/>
      <c r="F53" s="324"/>
      <c r="G53" s="324"/>
      <c r="H53" s="324"/>
      <c r="I53" s="324"/>
      <c r="J53" s="324"/>
    </row>
    <row r="54" spans="1:10" ht="15" customHeight="1">
      <c r="A54" s="202" t="s">
        <v>438</v>
      </c>
      <c r="B54" s="10"/>
      <c r="C54" s="105"/>
      <c r="D54" s="139"/>
      <c r="E54" s="139"/>
      <c r="F54" s="139"/>
      <c r="G54" s="139"/>
      <c r="H54" s="139"/>
      <c r="I54" s="139"/>
      <c r="J54" s="139"/>
    </row>
    <row r="55" spans="1:10" ht="12" customHeight="1">
      <c r="A55" s="3"/>
      <c r="C55" s="105"/>
      <c r="D55" s="139"/>
      <c r="E55" s="139"/>
      <c r="F55" s="139"/>
      <c r="G55" s="139"/>
      <c r="H55" s="139"/>
      <c r="I55" s="139"/>
      <c r="J55" s="139"/>
    </row>
    <row r="56" spans="1:10" ht="12" customHeight="1">
      <c r="A56" s="3"/>
      <c r="C56" s="105"/>
      <c r="D56" s="139"/>
      <c r="E56" s="203"/>
      <c r="F56" s="139"/>
      <c r="G56" s="139"/>
      <c r="H56" s="139"/>
      <c r="I56" s="139"/>
      <c r="J56" s="139"/>
    </row>
    <row r="57" spans="1:10" ht="12" customHeight="1">
      <c r="A57" s="3"/>
      <c r="C57" s="105"/>
      <c r="D57" s="139"/>
      <c r="E57" s="203"/>
      <c r="F57" s="139"/>
      <c r="G57" s="139"/>
      <c r="H57" s="139"/>
      <c r="I57" s="139"/>
      <c r="J57" s="139"/>
    </row>
    <row r="58" spans="1:10" ht="12" customHeight="1">
      <c r="A58" s="3"/>
      <c r="C58" s="105"/>
      <c r="D58" s="139"/>
      <c r="E58" s="203"/>
      <c r="F58" s="139"/>
      <c r="G58" s="139"/>
      <c r="H58" s="139"/>
      <c r="I58" s="139"/>
      <c r="J58" s="139"/>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8"/>
  <sheetViews>
    <sheetView showGridLines="0" showZeros="0" workbookViewId="0" topLeftCell="A1">
      <selection activeCell="A1" sqref="A1"/>
    </sheetView>
  </sheetViews>
  <sheetFormatPr defaultColWidth="15.83203125" defaultRowHeight="12"/>
  <cols>
    <col min="1" max="1" width="33.83203125" style="67" customWidth="1"/>
    <col min="2" max="2" width="15.83203125" style="67" customWidth="1"/>
    <col min="3" max="3" width="7.83203125" style="67" customWidth="1"/>
    <col min="4" max="4" width="9.83203125" style="67" customWidth="1"/>
    <col min="5" max="5" width="16.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10" ht="6.75" customHeight="1">
      <c r="A1" s="65"/>
      <c r="B1" s="116"/>
      <c r="C1" s="116"/>
      <c r="D1" s="116"/>
      <c r="E1" s="116"/>
      <c r="F1" s="116"/>
      <c r="G1" s="116"/>
      <c r="H1" s="116"/>
      <c r="I1" s="116"/>
      <c r="J1" s="116"/>
    </row>
    <row r="2" spans="1:10" ht="15.75" customHeight="1">
      <c r="A2" s="333"/>
      <c r="B2" s="360" t="s">
        <v>12</v>
      </c>
      <c r="C2" s="164"/>
      <c r="D2" s="164"/>
      <c r="E2" s="164"/>
      <c r="F2" s="164"/>
      <c r="G2" s="164"/>
      <c r="H2" s="178"/>
      <c r="I2" s="178"/>
      <c r="J2" s="336" t="s">
        <v>289</v>
      </c>
    </row>
    <row r="3" spans="1:10" ht="15.75" customHeight="1">
      <c r="A3" s="334"/>
      <c r="B3" s="456" t="str">
        <f>OPYEAR</f>
        <v>OPERATING FUND 2002/2003 ACTUAL</v>
      </c>
      <c r="C3" s="167"/>
      <c r="D3" s="167"/>
      <c r="E3" s="167"/>
      <c r="F3" s="167"/>
      <c r="G3" s="167"/>
      <c r="H3" s="179"/>
      <c r="I3" s="179"/>
      <c r="J3" s="182"/>
    </row>
    <row r="4" spans="2:10" ht="15.75" customHeight="1">
      <c r="B4" s="116"/>
      <c r="C4" s="116"/>
      <c r="D4" s="116"/>
      <c r="E4" s="116"/>
      <c r="F4" s="116"/>
      <c r="G4" s="116"/>
      <c r="H4" s="116"/>
      <c r="I4" s="116"/>
      <c r="J4" s="116"/>
    </row>
    <row r="5" spans="2:10" ht="15.75" customHeight="1">
      <c r="B5" s="269" t="s">
        <v>228</v>
      </c>
      <c r="C5" s="127"/>
      <c r="D5" s="194"/>
      <c r="E5" s="194"/>
      <c r="F5" s="194"/>
      <c r="G5" s="194"/>
      <c r="H5" s="194"/>
      <c r="I5" s="194"/>
      <c r="J5" s="195"/>
    </row>
    <row r="6" spans="2:10" ht="15.75" customHeight="1">
      <c r="B6" s="53" t="s">
        <v>29</v>
      </c>
      <c r="C6" s="51"/>
      <c r="D6" s="52"/>
      <c r="E6" s="53" t="s">
        <v>235</v>
      </c>
      <c r="F6" s="51"/>
      <c r="G6" s="52"/>
      <c r="H6" s="53" t="s">
        <v>226</v>
      </c>
      <c r="I6" s="51"/>
      <c r="J6" s="52"/>
    </row>
    <row r="7" spans="2:10" ht="15.75" customHeight="1">
      <c r="B7" s="54" t="s">
        <v>56</v>
      </c>
      <c r="C7" s="55"/>
      <c r="D7" s="56"/>
      <c r="E7" s="54" t="s">
        <v>234</v>
      </c>
      <c r="F7" s="55"/>
      <c r="G7" s="56"/>
      <c r="H7" s="54" t="s">
        <v>184</v>
      </c>
      <c r="I7" s="55"/>
      <c r="J7" s="56"/>
    </row>
    <row r="8" spans="1:10" ht="15.75" customHeight="1">
      <c r="A8" s="313"/>
      <c r="B8" s="58"/>
      <c r="C8" s="190"/>
      <c r="D8" s="191" t="s">
        <v>87</v>
      </c>
      <c r="E8" s="58"/>
      <c r="F8" s="59"/>
      <c r="G8" s="191" t="s">
        <v>87</v>
      </c>
      <c r="H8" s="58"/>
      <c r="I8" s="59"/>
      <c r="J8" s="191" t="s">
        <v>87</v>
      </c>
    </row>
    <row r="9" spans="1:10" ht="15.75" customHeight="1">
      <c r="A9" s="314" t="s">
        <v>112</v>
      </c>
      <c r="B9" s="61" t="s">
        <v>113</v>
      </c>
      <c r="C9" s="61" t="s">
        <v>114</v>
      </c>
      <c r="D9" s="61" t="s">
        <v>115</v>
      </c>
      <c r="E9" s="61" t="s">
        <v>113</v>
      </c>
      <c r="F9" s="61" t="s">
        <v>114</v>
      </c>
      <c r="G9" s="61" t="s">
        <v>115</v>
      </c>
      <c r="H9" s="61" t="s">
        <v>113</v>
      </c>
      <c r="I9" s="61" t="s">
        <v>114</v>
      </c>
      <c r="J9" s="61" t="s">
        <v>115</v>
      </c>
    </row>
    <row r="10" ht="4.5" customHeight="1">
      <c r="A10" s="62"/>
    </row>
    <row r="11" spans="1:10" ht="13.5" customHeight="1">
      <c r="A11" s="387" t="s">
        <v>327</v>
      </c>
      <c r="B11" s="362">
        <v>504913</v>
      </c>
      <c r="C11" s="278">
        <f>B11/'- 3 -'!D11</f>
        <v>0.0451957580448589</v>
      </c>
      <c r="D11" s="362">
        <f>IF(AND(B11&gt;0,'- 7 -'!D11=0),"N/A ",IF(B11&gt;0,B11/'- 7 -'!D11,0))</f>
        <v>13287.184210526315</v>
      </c>
      <c r="E11" s="362">
        <v>415365</v>
      </c>
      <c r="F11" s="278">
        <f>E11/'- 3 -'!D11</f>
        <v>0.03718014002472271</v>
      </c>
      <c r="G11" s="362">
        <f>E11/'- 7 -'!F11</f>
        <v>256.0030816640986</v>
      </c>
      <c r="H11" s="362">
        <v>171646</v>
      </c>
      <c r="I11" s="278">
        <f>H11/'- 3 -'!D11</f>
        <v>0.015364371852909018</v>
      </c>
      <c r="J11" s="362">
        <f>H11/'- 7 -'!F11</f>
        <v>105.79106317411402</v>
      </c>
    </row>
    <row r="12" spans="1:10" ht="13.5" customHeight="1">
      <c r="A12" s="388" t="s">
        <v>328</v>
      </c>
      <c r="B12" s="361">
        <v>0</v>
      </c>
      <c r="C12" s="279">
        <f>B12/'- 3 -'!D12</f>
        <v>0</v>
      </c>
      <c r="D12" s="361">
        <f>IF(AND(B12&gt;0,'- 7 -'!D12=0),"N/A ",IF(B12&gt;0,B12/'- 7 -'!D12,0))</f>
        <v>0</v>
      </c>
      <c r="E12" s="361">
        <v>844198</v>
      </c>
      <c r="F12" s="279">
        <f>E12/'- 3 -'!D12</f>
        <v>0.04598892994478047</v>
      </c>
      <c r="G12" s="361">
        <f>E12/'- 7 -'!F12</f>
        <v>359.24847865866633</v>
      </c>
      <c r="H12" s="361">
        <v>803243</v>
      </c>
      <c r="I12" s="279">
        <f>H12/'- 3 -'!D12</f>
        <v>0.043757845974090555</v>
      </c>
      <c r="J12" s="361">
        <f>H12/'- 7 -'!F12</f>
        <v>341.82007745010424</v>
      </c>
    </row>
    <row r="13" spans="1:10" ht="13.5" customHeight="1">
      <c r="A13" s="387" t="s">
        <v>329</v>
      </c>
      <c r="B13" s="362">
        <v>1878685</v>
      </c>
      <c r="C13" s="278">
        <f>B13/'- 3 -'!D13</f>
        <v>0.04037397946199432</v>
      </c>
      <c r="D13" s="362">
        <f>IF(AND(B13&gt;0,'- 7 -'!D13=0),"N/A ",IF(B13&gt;0,B13/'- 7 -'!D13,0))</f>
        <v>9940.132275132275</v>
      </c>
      <c r="E13" s="362">
        <v>1991665</v>
      </c>
      <c r="F13" s="278">
        <f>E13/'- 3 -'!D13</f>
        <v>0.04280198213387179</v>
      </c>
      <c r="G13" s="362">
        <f>E13/'- 7 -'!F13</f>
        <v>273.09269162210336</v>
      </c>
      <c r="H13" s="362">
        <v>1985565</v>
      </c>
      <c r="I13" s="278">
        <f>H13/'- 3 -'!D13</f>
        <v>0.04267088976089912</v>
      </c>
      <c r="J13" s="362">
        <f>H13/'- 7 -'!F13</f>
        <v>272.25627313862606</v>
      </c>
    </row>
    <row r="14" spans="1:10" ht="13.5" customHeight="1">
      <c r="A14" s="388" t="s">
        <v>366</v>
      </c>
      <c r="B14" s="361">
        <v>478335</v>
      </c>
      <c r="C14" s="279">
        <f>B14/'- 3 -'!D14</f>
        <v>0.012115504613990224</v>
      </c>
      <c r="D14" s="361">
        <f>IF(AND(B14&gt;0,'- 7 -'!D14=0),"N/A ",IF(B14&gt;0,B14/'- 7 -'!D14,0))</f>
        <v>8176.666666666667</v>
      </c>
      <c r="E14" s="361">
        <v>1732120</v>
      </c>
      <c r="F14" s="279">
        <f>E14/'- 3 -'!D14</f>
        <v>0.043871988986766065</v>
      </c>
      <c r="G14" s="361">
        <f>E14/'- 7 -'!F14</f>
        <v>404.7765937558422</v>
      </c>
      <c r="H14" s="361">
        <v>1450054</v>
      </c>
      <c r="I14" s="279">
        <f>H14/'- 3 -'!D14</f>
        <v>0.036727682330448284</v>
      </c>
      <c r="J14" s="361">
        <f>H14/'- 7 -'!F14</f>
        <v>338.86100205645914</v>
      </c>
    </row>
    <row r="15" spans="1:10" ht="13.5" customHeight="1">
      <c r="A15" s="387" t="s">
        <v>330</v>
      </c>
      <c r="B15" s="362">
        <v>0</v>
      </c>
      <c r="C15" s="278">
        <f>B15/'- 3 -'!D15</f>
        <v>0</v>
      </c>
      <c r="D15" s="362">
        <f>IF(AND(B15&gt;0,'- 7 -'!D15=0),"N/A ",IF(B15&gt;0,B15/'- 7 -'!D15,0))</f>
        <v>0</v>
      </c>
      <c r="E15" s="362">
        <v>543642</v>
      </c>
      <c r="F15" s="278">
        <f>E15/'- 3 -'!D15</f>
        <v>0.04329891882127721</v>
      </c>
      <c r="G15" s="362">
        <f>E15/'- 7 -'!F15</f>
        <v>322.44483985765123</v>
      </c>
      <c r="H15" s="362">
        <v>560962</v>
      </c>
      <c r="I15" s="278">
        <f>H15/'- 3 -'!D15</f>
        <v>0.04467838779899512</v>
      </c>
      <c r="J15" s="362">
        <f>H15/'- 7 -'!F15</f>
        <v>332.71767497034404</v>
      </c>
    </row>
    <row r="16" spans="1:10" ht="13.5" customHeight="1">
      <c r="A16" s="388" t="s">
        <v>331</v>
      </c>
      <c r="B16" s="361">
        <v>135790</v>
      </c>
      <c r="C16" s="279">
        <f>B16/'- 3 -'!D16</f>
        <v>0.012591980154022943</v>
      </c>
      <c r="D16" s="361">
        <f>IF(AND(B16&gt;0,'- 7 -'!D16=0),"N/A ",IF(B16&gt;0,B16/'- 7 -'!D16,0))</f>
        <v>22631.666666666668</v>
      </c>
      <c r="E16" s="361">
        <v>398623</v>
      </c>
      <c r="F16" s="279">
        <f>E16/'- 3 -'!D16</f>
        <v>0.03696481997891662</v>
      </c>
      <c r="G16" s="361">
        <f>E16/'- 7 -'!F16</f>
        <v>282.88790166912685</v>
      </c>
      <c r="H16" s="361">
        <v>257448</v>
      </c>
      <c r="I16" s="279">
        <f>H16/'- 3 -'!D16</f>
        <v>0.02387348189625818</v>
      </c>
      <c r="J16" s="361">
        <f>H16/'- 7 -'!F16</f>
        <v>182.70126036107644</v>
      </c>
    </row>
    <row r="17" spans="1:10" ht="13.5" customHeight="1">
      <c r="A17" s="387" t="s">
        <v>332</v>
      </c>
      <c r="B17" s="362">
        <v>0</v>
      </c>
      <c r="C17" s="278">
        <f>B17/'- 3 -'!D17</f>
        <v>0</v>
      </c>
      <c r="D17" s="362">
        <f>IF(AND(B17&gt;0,'- 7 -'!D17=0),"N/A ",IF(B17&gt;0,B17/'- 7 -'!D17,0))</f>
        <v>0</v>
      </c>
      <c r="E17" s="362">
        <v>383500</v>
      </c>
      <c r="F17" s="278">
        <f>E17/'- 3 -'!D17</f>
        <v>0.03115687972339515</v>
      </c>
      <c r="G17" s="362">
        <f>E17/'- 7 -'!F17</f>
        <v>244.16176433137238</v>
      </c>
      <c r="H17" s="362">
        <v>710516</v>
      </c>
      <c r="I17" s="278">
        <f>H17/'- 3 -'!D17</f>
        <v>0.057724801964922634</v>
      </c>
      <c r="J17" s="362">
        <f>H17/'- 7 -'!F17</f>
        <v>452.362034278147</v>
      </c>
    </row>
    <row r="18" spans="1:10" ht="13.5" customHeight="1">
      <c r="A18" s="388" t="s">
        <v>333</v>
      </c>
      <c r="B18" s="361">
        <v>63232.97</v>
      </c>
      <c r="C18" s="279">
        <f>B18/'- 3 -'!D18</f>
        <v>0.0008742275610565547</v>
      </c>
      <c r="D18" s="361">
        <f>IF(AND(B18&gt;0,'- 7 -'!D18=0),"N/A ",IF(B18&gt;0,B18/'- 7 -'!D18,0))</f>
        <v>15808.2425</v>
      </c>
      <c r="E18" s="361">
        <v>4610061.15</v>
      </c>
      <c r="F18" s="279">
        <f>E18/'- 3 -'!D18</f>
        <v>0.06373641022216853</v>
      </c>
      <c r="G18" s="361">
        <f>E18/'- 7 -'!F18</f>
        <v>777.5444678697926</v>
      </c>
      <c r="H18" s="361">
        <v>3688525.15</v>
      </c>
      <c r="I18" s="279">
        <f>H18/'- 3 -'!D18</f>
        <v>0.05099571229661144</v>
      </c>
      <c r="J18" s="361">
        <f>H18/'- 7 -'!F18</f>
        <v>622.1158964412211</v>
      </c>
    </row>
    <row r="19" spans="1:10" ht="13.5" customHeight="1">
      <c r="A19" s="387" t="s">
        <v>334</v>
      </c>
      <c r="B19" s="362">
        <v>807355</v>
      </c>
      <c r="C19" s="278">
        <f>B19/'- 3 -'!D19</f>
        <v>0.045663253590313646</v>
      </c>
      <c r="D19" s="362">
        <f>IF(AND(B19&gt;0,'- 7 -'!D19=0),"N/A ",IF(B19&gt;0,B19/'- 7 -'!D19,0))</f>
        <v>11838.049853372433</v>
      </c>
      <c r="E19" s="362">
        <v>631283</v>
      </c>
      <c r="F19" s="278">
        <f>E19/'- 3 -'!D19</f>
        <v>0.035704783789354086</v>
      </c>
      <c r="G19" s="362">
        <f>E19/'- 7 -'!F19</f>
        <v>215.65367403409286</v>
      </c>
      <c r="H19" s="362">
        <v>554989</v>
      </c>
      <c r="I19" s="278">
        <f>H19/'- 3 -'!D19</f>
        <v>0.03138966557070258</v>
      </c>
      <c r="J19" s="362">
        <f>H19/'- 7 -'!F19</f>
        <v>189.590749154511</v>
      </c>
    </row>
    <row r="20" spans="1:10" ht="13.5" customHeight="1">
      <c r="A20" s="388" t="s">
        <v>335</v>
      </c>
      <c r="B20" s="361">
        <v>120980</v>
      </c>
      <c r="C20" s="279">
        <f>B20/'- 3 -'!D20</f>
        <v>0.0036180848015915025</v>
      </c>
      <c r="D20" s="361">
        <f>IF(AND(B20&gt;0,'- 7 -'!D20=0),"N/A ",IF(B20&gt;0,B20/'- 7 -'!D20,0))</f>
        <v>24196</v>
      </c>
      <c r="E20" s="361">
        <v>1420168</v>
      </c>
      <c r="F20" s="279">
        <f>E20/'- 3 -'!D20</f>
        <v>0.04247221240293107</v>
      </c>
      <c r="G20" s="361">
        <f>E20/'- 7 -'!F20</f>
        <v>232.0156837118118</v>
      </c>
      <c r="H20" s="361">
        <v>1061692</v>
      </c>
      <c r="I20" s="279">
        <f>H20/'- 3 -'!D20</f>
        <v>0.03175146048248707</v>
      </c>
      <c r="J20" s="361">
        <f>H20/'- 7 -'!F20</f>
        <v>173.45074334259107</v>
      </c>
    </row>
    <row r="21" spans="1:10" ht="13.5" customHeight="1">
      <c r="A21" s="387" t="s">
        <v>336</v>
      </c>
      <c r="B21" s="362">
        <v>387614</v>
      </c>
      <c r="C21" s="278">
        <f>B21/'- 3 -'!D21</f>
        <v>0.01666198548843345</v>
      </c>
      <c r="D21" s="362">
        <f>IF(AND(B21&gt;0,'- 7 -'!D21=0),"N/A ",IF(B21&gt;0,B21/'- 7 -'!D21,0))</f>
        <v>19380.7</v>
      </c>
      <c r="E21" s="362">
        <v>652648</v>
      </c>
      <c r="F21" s="278">
        <f>E21/'- 3 -'!D21</f>
        <v>0.028054743907740983</v>
      </c>
      <c r="G21" s="362">
        <f>E21/'- 7 -'!F21</f>
        <v>197.2103704599021</v>
      </c>
      <c r="H21" s="362">
        <v>1428720</v>
      </c>
      <c r="I21" s="278">
        <f>H21/'- 3 -'!D21</f>
        <v>0.06141499509056597</v>
      </c>
      <c r="J21" s="362">
        <f>H21/'- 7 -'!F21</f>
        <v>431.71571886142505</v>
      </c>
    </row>
    <row r="22" spans="1:10" ht="13.5" customHeight="1">
      <c r="A22" s="388" t="s">
        <v>337</v>
      </c>
      <c r="B22" s="361">
        <v>521857</v>
      </c>
      <c r="C22" s="279">
        <f>B22/'- 3 -'!D22</f>
        <v>0.040761718788139154</v>
      </c>
      <c r="D22" s="361">
        <f>IF(AND(B22&gt;0,'- 7 -'!D22=0),"N/A ",IF(B22&gt;0,B22/'- 7 -'!D22,0))</f>
        <v>12425.166666666666</v>
      </c>
      <c r="E22" s="361">
        <v>646536</v>
      </c>
      <c r="F22" s="279">
        <f>E22/'- 3 -'!D22</f>
        <v>0.0505002684996241</v>
      </c>
      <c r="G22" s="361">
        <f>E22/'- 7 -'!F22</f>
        <v>382.56568047337277</v>
      </c>
      <c r="H22" s="361">
        <v>508411</v>
      </c>
      <c r="I22" s="279">
        <f>H22/'- 3 -'!D22</f>
        <v>0.03971146542213023</v>
      </c>
      <c r="J22" s="361">
        <f>H22/'- 7 -'!F22</f>
        <v>300.83491124260354</v>
      </c>
    </row>
    <row r="23" spans="1:10" ht="13.5" customHeight="1">
      <c r="A23" s="387" t="s">
        <v>338</v>
      </c>
      <c r="B23" s="362">
        <v>0</v>
      </c>
      <c r="C23" s="278">
        <f>B23/'- 3 -'!D23</f>
        <v>0</v>
      </c>
      <c r="D23" s="362">
        <f>IF(AND(B23&gt;0,'- 7 -'!D23=0),"N/A ",IF(B23&gt;0,B23/'- 7 -'!D23,0))</f>
        <v>0</v>
      </c>
      <c r="E23" s="362">
        <v>743408</v>
      </c>
      <c r="F23" s="278">
        <f>E23/'- 3 -'!D23</f>
        <v>0.06944615836748542</v>
      </c>
      <c r="G23" s="362">
        <f>E23/'- 7 -'!F23</f>
        <v>542.1982349938006</v>
      </c>
      <c r="H23" s="362">
        <v>345810</v>
      </c>
      <c r="I23" s="278">
        <f>H23/'- 3 -'!D23</f>
        <v>0.03230416679005356</v>
      </c>
      <c r="J23" s="362">
        <f>H23/'- 7 -'!F23</f>
        <v>252.21355116329957</v>
      </c>
    </row>
    <row r="24" spans="1:10" ht="13.5" customHeight="1">
      <c r="A24" s="388" t="s">
        <v>339</v>
      </c>
      <c r="B24" s="361">
        <v>555951</v>
      </c>
      <c r="C24" s="279">
        <f>B24/'- 3 -'!D24</f>
        <v>0.016673839943950736</v>
      </c>
      <c r="D24" s="361">
        <f>IF(AND(B24&gt;0,'- 7 -'!D24=0),"N/A ",IF(B24&gt;0,B24/'- 7 -'!D24,0))</f>
        <v>19855.39285714286</v>
      </c>
      <c r="E24" s="361">
        <v>1768695</v>
      </c>
      <c r="F24" s="279">
        <f>E24/'- 3 -'!D24</f>
        <v>0.05304592911905176</v>
      </c>
      <c r="G24" s="361">
        <f>E24/'- 7 -'!F24</f>
        <v>383.52342953791447</v>
      </c>
      <c r="H24" s="361">
        <v>1146036</v>
      </c>
      <c r="I24" s="279">
        <f>H24/'- 3 -'!D24</f>
        <v>0.03437141193019803</v>
      </c>
      <c r="J24" s="361">
        <f>H24/'- 7 -'!F24</f>
        <v>248.5061907756359</v>
      </c>
    </row>
    <row r="25" spans="1:10" ht="13.5" customHeight="1">
      <c r="A25" s="387" t="s">
        <v>340</v>
      </c>
      <c r="B25" s="362">
        <v>3477080</v>
      </c>
      <c r="C25" s="278">
        <f>B25/'- 3 -'!D25</f>
        <v>0.033602519367512115</v>
      </c>
      <c r="D25" s="362">
        <f>IF(AND(B25&gt;0,'- 7 -'!D25=0),"N/A ",IF(B25&gt;0,B25/'- 7 -'!D25,0))</f>
        <v>20946.265060240963</v>
      </c>
      <c r="E25" s="362">
        <v>4324233</v>
      </c>
      <c r="F25" s="278">
        <f>E25/'- 3 -'!D25</f>
        <v>0.04178941040532143</v>
      </c>
      <c r="G25" s="362">
        <f>E25/'- 7 -'!F25</f>
        <v>290.42749106735084</v>
      </c>
      <c r="H25" s="362">
        <v>5005835</v>
      </c>
      <c r="I25" s="278">
        <f>H25/'- 3 -'!D25</f>
        <v>0.04837641571032879</v>
      </c>
      <c r="J25" s="362">
        <f>H25/'- 7 -'!F25</f>
        <v>336.2057733121994</v>
      </c>
    </row>
    <row r="26" spans="1:10" ht="13.5" customHeight="1">
      <c r="A26" s="388" t="s">
        <v>341</v>
      </c>
      <c r="B26" s="361">
        <v>196572.54</v>
      </c>
      <c r="C26" s="279">
        <f>B26/'- 3 -'!D26</f>
        <v>0.007614263918384808</v>
      </c>
      <c r="D26" s="361">
        <f>IF(AND(B26&gt;0,'- 7 -'!D26=0),"N/A ",IF(B26&gt;0,B26/'- 7 -'!D26,0))</f>
        <v>8546.632173913044</v>
      </c>
      <c r="E26" s="361">
        <v>1426288.15</v>
      </c>
      <c r="F26" s="279">
        <f>E26/'- 3 -'!D26</f>
        <v>0.055247464359797244</v>
      </c>
      <c r="G26" s="361">
        <f>E26/'- 7 -'!F26</f>
        <v>425.7576567164179</v>
      </c>
      <c r="H26" s="361">
        <v>857684.16</v>
      </c>
      <c r="I26" s="279">
        <f>H26/'- 3 -'!D26</f>
        <v>0.033222511917779474</v>
      </c>
      <c r="J26" s="361">
        <f>H26/'- 7 -'!F26</f>
        <v>256.0251223880597</v>
      </c>
    </row>
    <row r="27" spans="1:10" ht="13.5" customHeight="1">
      <c r="A27" s="387" t="s">
        <v>342</v>
      </c>
      <c r="B27" s="362">
        <v>1177237</v>
      </c>
      <c r="C27" s="278">
        <f>B27/'- 3 -'!D27</f>
        <v>0.04582411667079338</v>
      </c>
      <c r="D27" s="362">
        <f>IF(AND(B27&gt;0,'- 7 -'!D27=0),"N/A ",IF(B27&gt;0,B27/'- 7 -'!D27,0))</f>
        <v>19953.169491525423</v>
      </c>
      <c r="E27" s="362">
        <v>1014033</v>
      </c>
      <c r="F27" s="278">
        <f>E27/'- 3 -'!D27</f>
        <v>0.03947137789589915</v>
      </c>
      <c r="G27" s="362">
        <f>E27/'- 7 -'!F27</f>
        <v>305.58810234156044</v>
      </c>
      <c r="H27" s="362">
        <v>1010348</v>
      </c>
      <c r="I27" s="278">
        <f>H27/'- 3 -'!D27</f>
        <v>0.03932793874988872</v>
      </c>
      <c r="J27" s="362">
        <f>H27/'- 7 -'!F27</f>
        <v>304.4775939487087</v>
      </c>
    </row>
    <row r="28" spans="1:10" ht="13.5" customHeight="1">
      <c r="A28" s="388" t="s">
        <v>343</v>
      </c>
      <c r="B28" s="361">
        <v>0</v>
      </c>
      <c r="C28" s="279">
        <f>B28/'- 3 -'!D28</f>
        <v>0</v>
      </c>
      <c r="D28" s="361">
        <f>IF(AND(B28&gt;0,'- 7 -'!D28=0),"N/A ",IF(B28&gt;0,B28/'- 7 -'!D28,0))</f>
        <v>0</v>
      </c>
      <c r="E28" s="361">
        <v>716814</v>
      </c>
      <c r="F28" s="279">
        <f>E28/'- 3 -'!D28</f>
        <v>0.0445422127471231</v>
      </c>
      <c r="G28" s="361">
        <f>E28/'- 7 -'!F28</f>
        <v>334.77209041658887</v>
      </c>
      <c r="H28" s="361">
        <v>515490</v>
      </c>
      <c r="I28" s="279">
        <f>H28/'- 3 -'!D28</f>
        <v>0.03203211049032871</v>
      </c>
      <c r="J28" s="361">
        <f>H28/'- 7 -'!F28</f>
        <v>240.74817859144406</v>
      </c>
    </row>
    <row r="29" spans="1:10" ht="13.5" customHeight="1">
      <c r="A29" s="387" t="s">
        <v>344</v>
      </c>
      <c r="B29" s="362">
        <v>1428626</v>
      </c>
      <c r="C29" s="278">
        <f>B29/'- 3 -'!D29</f>
        <v>0.014638196047207744</v>
      </c>
      <c r="D29" s="362">
        <f>IF(AND(B29&gt;0,'- 7 -'!D29=0),"N/A ",IF(B29&gt;0,B29/'- 7 -'!D29,0))</f>
        <v>31606.769911504423</v>
      </c>
      <c r="E29" s="362">
        <v>6141903</v>
      </c>
      <c r="F29" s="278">
        <f>E29/'- 3 -'!D29</f>
        <v>0.06293206214707935</v>
      </c>
      <c r="G29" s="362">
        <f>E29/'- 7 -'!F29</f>
        <v>469.63985043470285</v>
      </c>
      <c r="H29" s="362">
        <v>3825669</v>
      </c>
      <c r="I29" s="278">
        <f>H29/'- 3 -'!D29</f>
        <v>0.0391991275769342</v>
      </c>
      <c r="J29" s="362">
        <f>H29/'- 7 -'!F29</f>
        <v>292.5293051636731</v>
      </c>
    </row>
    <row r="30" spans="1:10" ht="13.5" customHeight="1">
      <c r="A30" s="388" t="s">
        <v>345</v>
      </c>
      <c r="B30" s="361">
        <v>0</v>
      </c>
      <c r="C30" s="279">
        <f>B30/'- 3 -'!D30</f>
        <v>0</v>
      </c>
      <c r="D30" s="361">
        <f>IF(AND(B30&gt;0,'- 7 -'!D30=0),"N/A ",IF(B30&gt;0,B30/'- 7 -'!D30,0))</f>
        <v>0</v>
      </c>
      <c r="E30" s="361">
        <v>401466</v>
      </c>
      <c r="F30" s="279">
        <f>E30/'- 3 -'!D30</f>
        <v>0.04166768725684871</v>
      </c>
      <c r="G30" s="361">
        <f>E30/'- 7 -'!F30</f>
        <v>313.0095119288945</v>
      </c>
      <c r="H30" s="361">
        <v>410319</v>
      </c>
      <c r="I30" s="279">
        <f>H30/'- 3 -'!D30</f>
        <v>0.04258652978718723</v>
      </c>
      <c r="J30" s="361">
        <f>H30/'- 7 -'!F30</f>
        <v>319.91189770778107</v>
      </c>
    </row>
    <row r="31" spans="1:10" ht="13.5" customHeight="1">
      <c r="A31" s="387" t="s">
        <v>346</v>
      </c>
      <c r="B31" s="362">
        <v>874478</v>
      </c>
      <c r="C31" s="278">
        <f>B31/'- 3 -'!D31</f>
        <v>0.035846405132039016</v>
      </c>
      <c r="D31" s="362">
        <f>IF(AND(B31&gt;0,'- 7 -'!D31=0),"N/A ",IF(B31&gt;0,B31/'- 7 -'!D31,0))</f>
        <v>8531.49268292683</v>
      </c>
      <c r="E31" s="362">
        <v>1160880</v>
      </c>
      <c r="F31" s="278">
        <f>E31/'- 3 -'!D31</f>
        <v>0.04758653138178599</v>
      </c>
      <c r="G31" s="362">
        <f>E31/'- 7 -'!F31</f>
        <v>344.95587317623983</v>
      </c>
      <c r="H31" s="362">
        <v>898944</v>
      </c>
      <c r="I31" s="278">
        <f>H31/'- 3 -'!D31</f>
        <v>0.03684930989117586</v>
      </c>
      <c r="J31" s="362">
        <f>H31/'- 7 -'!F31</f>
        <v>267.12150476926274</v>
      </c>
    </row>
    <row r="32" spans="1:10" ht="13.5" customHeight="1">
      <c r="A32" s="388" t="s">
        <v>347</v>
      </c>
      <c r="B32" s="361">
        <v>0</v>
      </c>
      <c r="C32" s="279">
        <f>B32/'- 3 -'!D32</f>
        <v>0</v>
      </c>
      <c r="D32" s="361">
        <f>IF(AND(B32&gt;0,'- 7 -'!D32=0),"N/A ",IF(B32&gt;0,B32/'- 7 -'!D32,0))</f>
        <v>0</v>
      </c>
      <c r="E32" s="361">
        <v>759188</v>
      </c>
      <c r="F32" s="279">
        <f>E32/'- 3 -'!D32</f>
        <v>0.04176427588446824</v>
      </c>
      <c r="G32" s="361">
        <f>E32/'- 7 -'!F32</f>
        <v>323.0587234042553</v>
      </c>
      <c r="H32" s="361">
        <v>668097</v>
      </c>
      <c r="I32" s="279">
        <f>H32/'- 3 -'!D32</f>
        <v>0.03675319871439693</v>
      </c>
      <c r="J32" s="361">
        <f>H32/'- 7 -'!F32</f>
        <v>284.29659574468087</v>
      </c>
    </row>
    <row r="33" spans="1:10" ht="13.5" customHeight="1">
      <c r="A33" s="387" t="s">
        <v>348</v>
      </c>
      <c r="B33" s="362">
        <v>0</v>
      </c>
      <c r="C33" s="278">
        <f>B33/'- 3 -'!D33</f>
        <v>0</v>
      </c>
      <c r="D33" s="362">
        <f>IF(AND(B33&gt;0,'- 7 -'!D33=0),"N/A ",IF(B33&gt;0,B33/'- 7 -'!D33,0))</f>
        <v>0</v>
      </c>
      <c r="E33" s="362">
        <v>964253</v>
      </c>
      <c r="F33" s="278">
        <f>E33/'- 3 -'!D33</f>
        <v>0.04448298932877512</v>
      </c>
      <c r="G33" s="362">
        <f>E33/'- 7 -'!F33</f>
        <v>386.7686815611087</v>
      </c>
      <c r="H33" s="362">
        <v>1039744</v>
      </c>
      <c r="I33" s="278">
        <f>H33/'- 3 -'!D33</f>
        <v>0.047965545615785435</v>
      </c>
      <c r="J33" s="362">
        <f>H33/'- 7 -'!F33</f>
        <v>417.0486542858289</v>
      </c>
    </row>
    <row r="34" spans="1:10" ht="13.5" customHeight="1">
      <c r="A34" s="388" t="s">
        <v>349</v>
      </c>
      <c r="B34" s="361">
        <v>195602</v>
      </c>
      <c r="C34" s="279">
        <f>B34/'- 3 -'!D34</f>
        <v>0.011903536658059124</v>
      </c>
      <c r="D34" s="361">
        <f>IF(AND(B34&gt;0,'- 7 -'!D34=0),"N/A ",IF(B34&gt;0,B34/'- 7 -'!D34,0))</f>
        <v>20375.208333333336</v>
      </c>
      <c r="E34" s="361">
        <v>522753.13</v>
      </c>
      <c r="F34" s="279">
        <f>E34/'- 3 -'!D34</f>
        <v>0.03181261462597594</v>
      </c>
      <c r="G34" s="361">
        <f>E34/'- 7 -'!F34</f>
        <v>236.32600813743218</v>
      </c>
      <c r="H34" s="361">
        <v>686340</v>
      </c>
      <c r="I34" s="279">
        <f>H34/'- 3 -'!D34</f>
        <v>0.04176784158593623</v>
      </c>
      <c r="J34" s="361">
        <f>H34/'- 7 -'!F34</f>
        <v>310.28028933092224</v>
      </c>
    </row>
    <row r="35" spans="1:10" ht="13.5" customHeight="1">
      <c r="A35" s="387" t="s">
        <v>350</v>
      </c>
      <c r="B35" s="362">
        <v>4964725</v>
      </c>
      <c r="C35" s="278">
        <f>B35/'- 3 -'!D35</f>
        <v>0.04057003923532133</v>
      </c>
      <c r="D35" s="362">
        <f>IF(AND(B35&gt;0,'- 7 -'!D35=0),"N/A ",IF(B35&gt;0,B35/'- 7 -'!D35,0))</f>
        <v>24456.77339901478</v>
      </c>
      <c r="E35" s="362">
        <v>4624058</v>
      </c>
      <c r="F35" s="278">
        <f>E35/'- 3 -'!D35</f>
        <v>0.03778622471262789</v>
      </c>
      <c r="G35" s="362">
        <f>E35/'- 7 -'!F35</f>
        <v>259.5204768292204</v>
      </c>
      <c r="H35" s="362">
        <v>6035250</v>
      </c>
      <c r="I35" s="278">
        <f>H35/'- 3 -'!D35</f>
        <v>0.04931800437989477</v>
      </c>
      <c r="J35" s="362">
        <f>H35/'- 7 -'!F35</f>
        <v>338.72216952805354</v>
      </c>
    </row>
    <row r="36" spans="1:10" ht="13.5" customHeight="1">
      <c r="A36" s="388" t="s">
        <v>351</v>
      </c>
      <c r="B36" s="361">
        <v>0</v>
      </c>
      <c r="C36" s="279">
        <f>B36/'- 3 -'!D36</f>
        <v>0</v>
      </c>
      <c r="D36" s="361">
        <f>IF(AND(B36&gt;0,'- 7 -'!D36=0),"N/A ",IF(B36&gt;0,B36/'- 7 -'!D36,0))</f>
        <v>0</v>
      </c>
      <c r="E36" s="361">
        <v>690671</v>
      </c>
      <c r="F36" s="279">
        <f>E36/'- 3 -'!D36</f>
        <v>0.043379129221783934</v>
      </c>
      <c r="G36" s="361">
        <f>E36/'- 7 -'!F36</f>
        <v>325.174670433145</v>
      </c>
      <c r="H36" s="361">
        <v>451144</v>
      </c>
      <c r="I36" s="279">
        <f>H36/'- 3 -'!D36</f>
        <v>0.028335102926910917</v>
      </c>
      <c r="J36" s="361">
        <f>H36/'- 7 -'!F36</f>
        <v>212.4030131826742</v>
      </c>
    </row>
    <row r="37" spans="1:10" ht="13.5" customHeight="1">
      <c r="A37" s="387" t="s">
        <v>352</v>
      </c>
      <c r="B37" s="362">
        <v>0</v>
      </c>
      <c r="C37" s="278">
        <f>B37/'- 3 -'!D37</f>
        <v>0</v>
      </c>
      <c r="D37" s="362">
        <f>IF(AND(B37&gt;0,'- 7 -'!D37=0),"N/A ",IF(B37&gt;0,B37/'- 7 -'!D37,0))</f>
        <v>0</v>
      </c>
      <c r="E37" s="362">
        <v>1688630</v>
      </c>
      <c r="F37" s="278">
        <f>E37/'- 3 -'!D37</f>
        <v>0.07219412941245429</v>
      </c>
      <c r="G37" s="362">
        <f>E37/'- 7 -'!F37</f>
        <v>499.5798940859738</v>
      </c>
      <c r="H37" s="362">
        <v>722698</v>
      </c>
      <c r="I37" s="278">
        <f>H37/'- 3 -'!D37</f>
        <v>0.030897563668845093</v>
      </c>
      <c r="J37" s="362">
        <f>H37/'- 7 -'!F37</f>
        <v>213.8096506020532</v>
      </c>
    </row>
    <row r="38" spans="1:10" ht="13.5" customHeight="1">
      <c r="A38" s="388" t="s">
        <v>353</v>
      </c>
      <c r="B38" s="361">
        <v>1439245</v>
      </c>
      <c r="C38" s="279">
        <f>B38/'- 3 -'!D38</f>
        <v>0.023386930574752506</v>
      </c>
      <c r="D38" s="361">
        <f>IF(AND(B38&gt;0,'- 7 -'!D38=0),"N/A ",IF(B38&gt;0,B38/'- 7 -'!D38,0))</f>
        <v>31287.934782608696</v>
      </c>
      <c r="E38" s="361">
        <v>4495106</v>
      </c>
      <c r="F38" s="279">
        <f>E38/'- 3 -'!D38</f>
        <v>0.07304297179990442</v>
      </c>
      <c r="G38" s="361">
        <f>E38/'- 7 -'!F38</f>
        <v>527.3779550654074</v>
      </c>
      <c r="H38" s="361">
        <v>1305317</v>
      </c>
      <c r="I38" s="279">
        <f>H38/'- 3 -'!D38</f>
        <v>0.021210675081062794</v>
      </c>
      <c r="J38" s="361">
        <f>H38/'- 7 -'!F38</f>
        <v>153.14330967325628</v>
      </c>
    </row>
    <row r="39" spans="1:10" ht="13.5" customHeight="1">
      <c r="A39" s="387" t="s">
        <v>354</v>
      </c>
      <c r="B39" s="362">
        <v>0</v>
      </c>
      <c r="C39" s="278">
        <f>B39/'- 3 -'!D39</f>
        <v>0</v>
      </c>
      <c r="D39" s="362">
        <f>IF(AND(B39&gt;0,'- 7 -'!D39=0),"N/A ",IF(B39&gt;0,B39/'- 7 -'!D39,0))</f>
        <v>0</v>
      </c>
      <c r="E39" s="362">
        <v>748576</v>
      </c>
      <c r="F39" s="278">
        <f>E39/'- 3 -'!D39</f>
        <v>0.05098839058953622</v>
      </c>
      <c r="G39" s="362">
        <f>E39/'- 7 -'!F39</f>
        <v>413.8065229408513</v>
      </c>
      <c r="H39" s="362">
        <v>485551</v>
      </c>
      <c r="I39" s="278">
        <f>H39/'- 3 -'!D39</f>
        <v>0.033072746172920185</v>
      </c>
      <c r="J39" s="362">
        <f>H39/'- 7 -'!F39</f>
        <v>268.40851299060256</v>
      </c>
    </row>
    <row r="40" spans="1:10" ht="13.5" customHeight="1">
      <c r="A40" s="388" t="s">
        <v>355</v>
      </c>
      <c r="B40" s="361">
        <v>2176691</v>
      </c>
      <c r="C40" s="279">
        <f>B40/'- 3 -'!D40</f>
        <v>0.03506767015361611</v>
      </c>
      <c r="D40" s="361">
        <f>IF(AND(B40&gt;0,'- 7 -'!D40=0),"N/A ",IF(B40&gt;0,B40/'- 7 -'!D40,0))</f>
        <v>19211.747572815533</v>
      </c>
      <c r="E40" s="361">
        <v>2234284</v>
      </c>
      <c r="F40" s="279">
        <f>E40/'- 3 -'!D40</f>
        <v>0.03599552455608169</v>
      </c>
      <c r="G40" s="361">
        <f>E40/'- 7 -'!F40</f>
        <v>245.00474266258016</v>
      </c>
      <c r="H40" s="361">
        <v>1225980</v>
      </c>
      <c r="I40" s="279">
        <f>H40/'- 3 -'!D40</f>
        <v>0.019751201367088977</v>
      </c>
      <c r="J40" s="361">
        <f>H40/'- 7 -'!F40</f>
        <v>134.43721317857086</v>
      </c>
    </row>
    <row r="41" spans="1:10" ht="13.5" customHeight="1">
      <c r="A41" s="387" t="s">
        <v>356</v>
      </c>
      <c r="B41" s="362">
        <v>285989</v>
      </c>
      <c r="C41" s="278">
        <f>B41/'- 3 -'!D41</f>
        <v>0.00761450587211478</v>
      </c>
      <c r="D41" s="362">
        <f>IF(AND(B41&gt;0,'- 7 -'!D41=0),"N/A ",IF(B41&gt;0,B41/'- 7 -'!D41,0))</f>
        <v>16822.882352941175</v>
      </c>
      <c r="E41" s="362">
        <v>2070606</v>
      </c>
      <c r="F41" s="278">
        <f>E41/'- 3 -'!D41</f>
        <v>0.05513023768689039</v>
      </c>
      <c r="G41" s="362">
        <f>E41/'- 7 -'!F41</f>
        <v>421.21445136091785</v>
      </c>
      <c r="H41" s="362">
        <v>1775982</v>
      </c>
      <c r="I41" s="278">
        <f>H41/'- 3 -'!D41</f>
        <v>0.047285823467931115</v>
      </c>
      <c r="J41" s="362">
        <f>H41/'- 7 -'!F41</f>
        <v>361.28036128402294</v>
      </c>
    </row>
    <row r="42" spans="1:10" ht="13.5" customHeight="1">
      <c r="A42" s="388" t="s">
        <v>357</v>
      </c>
      <c r="B42" s="361">
        <v>0</v>
      </c>
      <c r="C42" s="279">
        <f>B42/'- 3 -'!D42</f>
        <v>0</v>
      </c>
      <c r="D42" s="361">
        <f>IF(AND(B42&gt;0,'- 7 -'!D42=0),"N/A ",IF(B42&gt;0,B42/'- 7 -'!D42,0))</f>
        <v>0</v>
      </c>
      <c r="E42" s="361">
        <v>1043697</v>
      </c>
      <c r="F42" s="279">
        <f>E42/'- 3 -'!D42</f>
        <v>0.07178084969183045</v>
      </c>
      <c r="G42" s="361">
        <f>E42/'- 7 -'!F42</f>
        <v>555.0694038185396</v>
      </c>
      <c r="H42" s="361">
        <v>399114</v>
      </c>
      <c r="I42" s="279">
        <f>H42/'- 3 -'!D42</f>
        <v>0.02744929040124214</v>
      </c>
      <c r="J42" s="361">
        <f>H42/'- 7 -'!F42</f>
        <v>212.26080944530128</v>
      </c>
    </row>
    <row r="43" spans="1:10" ht="13.5" customHeight="1">
      <c r="A43" s="387" t="s">
        <v>358</v>
      </c>
      <c r="B43" s="362">
        <v>0</v>
      </c>
      <c r="C43" s="278">
        <f>B43/'- 3 -'!D43</f>
        <v>0</v>
      </c>
      <c r="D43" s="362">
        <f>IF(AND(B43&gt;0,'- 7 -'!D43=0),"N/A ",IF(B43&gt;0,B43/'- 7 -'!D43,0))</f>
        <v>0</v>
      </c>
      <c r="E43" s="362">
        <v>315666</v>
      </c>
      <c r="F43" s="278">
        <f>E43/'- 3 -'!D43</f>
        <v>0.03463319257306257</v>
      </c>
      <c r="G43" s="362">
        <f>E43/'- 7 -'!F43</f>
        <v>258.954881050041</v>
      </c>
      <c r="H43" s="362">
        <v>707440</v>
      </c>
      <c r="I43" s="278">
        <f>H43/'- 3 -'!D43</f>
        <v>0.07761654962488004</v>
      </c>
      <c r="J43" s="362">
        <f>H43/'- 7 -'!F43</f>
        <v>580.3445447087777</v>
      </c>
    </row>
    <row r="44" spans="1:10" ht="13.5" customHeight="1">
      <c r="A44" s="388" t="s">
        <v>359</v>
      </c>
      <c r="B44" s="361">
        <v>0</v>
      </c>
      <c r="C44" s="279">
        <f>B44/'- 3 -'!D44</f>
        <v>0</v>
      </c>
      <c r="D44" s="361">
        <f>IF(AND(B44&gt;0,'- 7 -'!D44=0),"N/A ",IF(B44&gt;0,B44/'- 7 -'!D44,0))</f>
        <v>0</v>
      </c>
      <c r="E44" s="361">
        <v>361538</v>
      </c>
      <c r="F44" s="279">
        <f>E44/'- 3 -'!D44</f>
        <v>0.05523639270277779</v>
      </c>
      <c r="G44" s="361">
        <f>E44/'- 7 -'!F44</f>
        <v>441.7080024434942</v>
      </c>
      <c r="H44" s="361">
        <v>269632</v>
      </c>
      <c r="I44" s="279">
        <f>H44/'- 3 -'!D44</f>
        <v>0.0411948371602304</v>
      </c>
      <c r="J44" s="361">
        <f>H44/'- 7 -'!F44</f>
        <v>329.42211362248014</v>
      </c>
    </row>
    <row r="45" spans="1:10" ht="13.5" customHeight="1">
      <c r="A45" s="387" t="s">
        <v>360</v>
      </c>
      <c r="B45" s="362">
        <v>97791</v>
      </c>
      <c r="C45" s="278">
        <f>B45/'- 3 -'!D45</f>
        <v>0.009889066418574548</v>
      </c>
      <c r="D45" s="362">
        <f>IF(AND(B45&gt;0,'- 7 -'!D45=0),"N/A ",IF(B45&gt;0,B45/'- 7 -'!D45,0))</f>
        <v>10865.666666666666</v>
      </c>
      <c r="E45" s="362">
        <v>455099</v>
      </c>
      <c r="F45" s="278">
        <f>E45/'- 3 -'!D45</f>
        <v>0.046021660868861745</v>
      </c>
      <c r="G45" s="362">
        <f>E45/'- 7 -'!F45</f>
        <v>312.139231824417</v>
      </c>
      <c r="H45" s="362">
        <v>390285</v>
      </c>
      <c r="I45" s="278">
        <f>H45/'- 3 -'!D45</f>
        <v>0.039467377234851546</v>
      </c>
      <c r="J45" s="362">
        <f>H45/'- 7 -'!F45</f>
        <v>267.68518518518516</v>
      </c>
    </row>
    <row r="46" spans="1:10" ht="13.5" customHeight="1">
      <c r="A46" s="388" t="s">
        <v>361</v>
      </c>
      <c r="B46" s="361">
        <v>13730348</v>
      </c>
      <c r="C46" s="279">
        <f>B46/'- 3 -'!D46</f>
        <v>0.054796781051269665</v>
      </c>
      <c r="D46" s="361">
        <f>IF(AND(B46&gt;0,'- 7 -'!D46=0),"N/A ",IF(B46&gt;0,B46/'- 7 -'!D46,0))</f>
        <v>12204.753777777778</v>
      </c>
      <c r="E46" s="361">
        <v>11624741</v>
      </c>
      <c r="F46" s="279">
        <f>E46/'- 3 -'!D46</f>
        <v>0.046393462667859375</v>
      </c>
      <c r="G46" s="361">
        <f>E46/'- 7 -'!F46</f>
        <v>377.145021574798</v>
      </c>
      <c r="H46" s="361">
        <v>14620655</v>
      </c>
      <c r="I46" s="279">
        <f>H46/'- 3 -'!D46</f>
        <v>0.058349928993871904</v>
      </c>
      <c r="J46" s="361">
        <f>H46/'- 7 -'!F46</f>
        <v>474.3423742010836</v>
      </c>
    </row>
    <row r="47" spans="1:10" ht="13.5" customHeight="1">
      <c r="A47" s="387" t="s">
        <v>365</v>
      </c>
      <c r="B47" s="362">
        <v>0</v>
      </c>
      <c r="C47" s="278">
        <f>B47/'- 3 -'!D47</f>
        <v>0</v>
      </c>
      <c r="D47" s="362">
        <f>IF(AND(B47&gt;0,'- 7 -'!D47=0),"N/A ",IF(B47&gt;0,B47/'- 7 -'!D47,0))</f>
        <v>0</v>
      </c>
      <c r="E47" s="362">
        <v>175698</v>
      </c>
      <c r="F47" s="278">
        <f>E47/'- 3 -'!D47</f>
        <v>0.031587628080120944</v>
      </c>
      <c r="G47" s="362">
        <f>E47/'- 7 -'!F47</f>
        <v>284.8633224164208</v>
      </c>
      <c r="H47" s="362">
        <v>0</v>
      </c>
      <c r="I47" s="278">
        <f>H47/'- 3 -'!D47</f>
        <v>0</v>
      </c>
      <c r="J47" s="362">
        <f>H47/'- 7 -'!F47</f>
        <v>0</v>
      </c>
    </row>
    <row r="48" spans="1:10" ht="4.5" customHeight="1">
      <c r="A48" s="389"/>
      <c r="B48" s="322"/>
      <c r="C48" s="162"/>
      <c r="D48" s="322"/>
      <c r="E48" s="322"/>
      <c r="F48" s="162"/>
      <c r="G48" s="322"/>
      <c r="H48" s="322"/>
      <c r="I48" s="162"/>
      <c r="J48" s="322"/>
    </row>
    <row r="49" spans="1:10" ht="13.5" customHeight="1">
      <c r="A49" s="383" t="s">
        <v>362</v>
      </c>
      <c r="B49" s="363">
        <f>SUM(B11:B47)</f>
        <v>35499097.51</v>
      </c>
      <c r="C49" s="81">
        <f>B49/'- 3 -'!D49</f>
        <v>0.026344458438451863</v>
      </c>
      <c r="D49" s="363">
        <f>B49/'- 7 -'!D49</f>
        <v>14932.527451310309</v>
      </c>
      <c r="E49" s="363">
        <f>SUM(E11:E47)</f>
        <v>64742093.43</v>
      </c>
      <c r="F49" s="81">
        <f>E49/'- 3 -'!D49</f>
        <v>0.04804616199340112</v>
      </c>
      <c r="G49" s="363">
        <f>E49/'- 7 -'!F49</f>
        <v>361.37569856592523</v>
      </c>
      <c r="H49" s="363">
        <f>SUM(H11:H47)</f>
        <v>57981135.31</v>
      </c>
      <c r="I49" s="81">
        <f>H49/'- 3 -'!D49</f>
        <v>0.043028744856351955</v>
      </c>
      <c r="J49" s="363">
        <f>H49/'- 7 -'!F49</f>
        <v>323.6375619974556</v>
      </c>
    </row>
    <row r="50" spans="1:10" ht="4.5" customHeight="1">
      <c r="A50" s="389" t="s">
        <v>15</v>
      </c>
      <c r="B50" s="322"/>
      <c r="C50" s="162"/>
      <c r="D50" s="322"/>
      <c r="E50" s="322"/>
      <c r="F50" s="162"/>
      <c r="G50" s="9"/>
      <c r="H50" s="322"/>
      <c r="I50" s="162"/>
      <c r="J50" s="322"/>
    </row>
    <row r="51" spans="1:10" ht="13.5" customHeight="1">
      <c r="A51" s="388" t="s">
        <v>363</v>
      </c>
      <c r="B51" s="361">
        <v>0</v>
      </c>
      <c r="C51" s="279">
        <f>B51/'- 3 -'!D51</f>
        <v>0</v>
      </c>
      <c r="D51" s="361">
        <f>IF(AND(B51&gt;0,'- 7 -'!D51=0),"N/A ",IF(B51&gt;0,B51/'- 7 -'!D51,0))</f>
        <v>0</v>
      </c>
      <c r="E51" s="361">
        <v>2477</v>
      </c>
      <c r="F51" s="279">
        <f>E51/'- 3 -'!D51</f>
        <v>0.0019606073846114877</v>
      </c>
      <c r="G51" s="8">
        <f>E51/'- 7 -'!F51</f>
        <v>16.18954248366013</v>
      </c>
      <c r="H51" s="361">
        <v>28381</v>
      </c>
      <c r="I51" s="279">
        <f>H51/'- 3 -'!D51</f>
        <v>0.022464270562236027</v>
      </c>
      <c r="J51" s="361">
        <f>H51/'- 7 -'!F51</f>
        <v>185.4967320261438</v>
      </c>
    </row>
    <row r="52" spans="1:10" ht="13.5" customHeight="1">
      <c r="A52" s="387" t="s">
        <v>364</v>
      </c>
      <c r="B52" s="362">
        <v>0</v>
      </c>
      <c r="C52" s="278">
        <f>B52/'- 3 -'!D52</f>
        <v>0</v>
      </c>
      <c r="D52" s="362">
        <f>IF(AND(B52&gt;0,'- 7 -'!D52=0),"N/A ",IF(B52&gt;0,B52/'- 7 -'!D52,0))</f>
        <v>0</v>
      </c>
      <c r="E52" s="362">
        <v>115653</v>
      </c>
      <c r="F52" s="278">
        <f>E52/'- 3 -'!D52</f>
        <v>0.04850079197033917</v>
      </c>
      <c r="G52" s="7">
        <f>E52/'- 7 -'!F52</f>
        <v>423.6373626373626</v>
      </c>
      <c r="H52" s="362">
        <v>41540</v>
      </c>
      <c r="I52" s="278">
        <f>H52/'- 3 -'!D52</f>
        <v>0.01742041190844932</v>
      </c>
      <c r="J52" s="362">
        <f>H52/'- 7 -'!F52</f>
        <v>152.16117216117217</v>
      </c>
    </row>
    <row r="53" ht="49.5" customHeight="1"/>
    <row r="54" spans="1:2" ht="12" customHeight="1">
      <c r="A54" s="3"/>
      <c r="B54" s="139"/>
    </row>
    <row r="55" spans="1:2" ht="12" customHeight="1">
      <c r="A55" s="3"/>
      <c r="B55" s="139"/>
    </row>
    <row r="56" spans="1:2" ht="12" customHeight="1">
      <c r="A56" s="3"/>
      <c r="B56" s="139"/>
    </row>
    <row r="57" spans="1:2" ht="12" customHeight="1">
      <c r="A57" s="3"/>
      <c r="B57" s="139"/>
    </row>
    <row r="58" spans="1:2" ht="12" customHeight="1">
      <c r="A58" s="3"/>
      <c r="B58" s="139"/>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topLeftCell="A1">
      <selection activeCell="A1" sqref="A1"/>
    </sheetView>
  </sheetViews>
  <sheetFormatPr defaultColWidth="15.83203125" defaultRowHeight="12"/>
  <cols>
    <col min="1" max="1" width="36.83203125" style="67" customWidth="1"/>
    <col min="2" max="2" width="23.83203125" style="67" customWidth="1"/>
    <col min="3" max="3" width="12.83203125" style="67" customWidth="1"/>
    <col min="4" max="4" width="22.83203125" style="67" customWidth="1"/>
    <col min="5" max="5" width="12.83203125" style="67" customWidth="1"/>
    <col min="6" max="6" width="25.83203125" style="67" customWidth="1"/>
    <col min="7" max="16384" width="15.83203125" style="67" customWidth="1"/>
  </cols>
  <sheetData>
    <row r="1" spans="1:5" ht="6.75" customHeight="1">
      <c r="A1" s="65"/>
      <c r="B1" s="116"/>
      <c r="C1" s="116"/>
      <c r="D1" s="116"/>
      <c r="E1" s="116"/>
    </row>
    <row r="2" spans="1:6" ht="15.75" customHeight="1">
      <c r="A2" s="333"/>
      <c r="B2" s="360" t="s">
        <v>12</v>
      </c>
      <c r="C2" s="164"/>
      <c r="D2" s="164"/>
      <c r="E2" s="336"/>
      <c r="F2" s="336" t="s">
        <v>290</v>
      </c>
    </row>
    <row r="3" spans="1:6" ht="15.75" customHeight="1">
      <c r="A3" s="334"/>
      <c r="B3" s="456" t="str">
        <f>OPYEAR</f>
        <v>OPERATING FUND 2002/2003 ACTUAL</v>
      </c>
      <c r="C3" s="167"/>
      <c r="D3" s="167"/>
      <c r="E3" s="182"/>
      <c r="F3" s="182"/>
    </row>
    <row r="4" spans="2:5" ht="15.75" customHeight="1">
      <c r="B4" s="116"/>
      <c r="C4" s="116"/>
      <c r="D4" s="116"/>
      <c r="E4" s="116"/>
    </row>
    <row r="5" spans="2:5" ht="15.75" customHeight="1">
      <c r="B5" s="269" t="s">
        <v>372</v>
      </c>
      <c r="C5" s="194"/>
      <c r="D5" s="140"/>
      <c r="E5" s="303"/>
    </row>
    <row r="6" spans="2:5" ht="15.75" customHeight="1">
      <c r="B6" s="53" t="s">
        <v>50</v>
      </c>
      <c r="C6" s="51"/>
      <c r="D6" s="304"/>
      <c r="E6" s="305"/>
    </row>
    <row r="7" spans="2:5" ht="15.75" customHeight="1">
      <c r="B7" s="54" t="s">
        <v>308</v>
      </c>
      <c r="C7" s="55"/>
      <c r="D7" s="54" t="s">
        <v>211</v>
      </c>
      <c r="E7" s="56"/>
    </row>
    <row r="8" spans="1:5" ht="15.75" customHeight="1">
      <c r="A8" s="313"/>
      <c r="B8" s="58"/>
      <c r="C8" s="59"/>
      <c r="D8" s="58"/>
      <c r="E8" s="59"/>
    </row>
    <row r="9" spans="1:5" ht="15.75" customHeight="1">
      <c r="A9" s="314" t="s">
        <v>112</v>
      </c>
      <c r="B9" s="61" t="s">
        <v>113</v>
      </c>
      <c r="C9" s="61" t="s">
        <v>114</v>
      </c>
      <c r="D9" s="61" t="s">
        <v>113</v>
      </c>
      <c r="E9" s="61" t="s">
        <v>114</v>
      </c>
    </row>
    <row r="10" ht="4.5" customHeight="1">
      <c r="A10" s="62"/>
    </row>
    <row r="11" spans="1:5" ht="13.5" customHeight="1">
      <c r="A11" s="387" t="s">
        <v>327</v>
      </c>
      <c r="B11" s="362">
        <v>0</v>
      </c>
      <c r="C11" s="278">
        <f>B11/'- 3 -'!D11</f>
        <v>0</v>
      </c>
      <c r="D11" s="362">
        <v>0</v>
      </c>
      <c r="E11" s="278">
        <f>D11/'- 3 -'!D11</f>
        <v>0</v>
      </c>
    </row>
    <row r="12" spans="1:5" ht="13.5" customHeight="1">
      <c r="A12" s="388" t="s">
        <v>328</v>
      </c>
      <c r="B12" s="361">
        <v>96176</v>
      </c>
      <c r="C12" s="279">
        <f>B12/'- 3 -'!D12</f>
        <v>0.005239329311807427</v>
      </c>
      <c r="D12" s="361">
        <v>376964</v>
      </c>
      <c r="E12" s="279">
        <f>D12/'- 3 -'!D12</f>
        <v>0.02053566934262368</v>
      </c>
    </row>
    <row r="13" spans="1:5" ht="13.5" customHeight="1">
      <c r="A13" s="387" t="s">
        <v>329</v>
      </c>
      <c r="B13" s="362">
        <v>0</v>
      </c>
      <c r="C13" s="278">
        <f>B13/'- 3 -'!D13</f>
        <v>0</v>
      </c>
      <c r="D13" s="362">
        <v>0</v>
      </c>
      <c r="E13" s="278">
        <f>D13/'- 3 -'!D13</f>
        <v>0</v>
      </c>
    </row>
    <row r="14" spans="1:5" ht="13.5" customHeight="1">
      <c r="A14" s="388" t="s">
        <v>366</v>
      </c>
      <c r="B14" s="361">
        <v>0</v>
      </c>
      <c r="C14" s="279">
        <f>B14/'- 3 -'!D14</f>
        <v>0</v>
      </c>
      <c r="D14" s="361">
        <v>0</v>
      </c>
      <c r="E14" s="279">
        <f>D14/'- 3 -'!D14</f>
        <v>0</v>
      </c>
    </row>
    <row r="15" spans="1:5" ht="13.5" customHeight="1">
      <c r="A15" s="387" t="s">
        <v>330</v>
      </c>
      <c r="B15" s="362">
        <v>0</v>
      </c>
      <c r="C15" s="278">
        <f>B15/'- 3 -'!D15</f>
        <v>0</v>
      </c>
      <c r="D15" s="362">
        <v>95533</v>
      </c>
      <c r="E15" s="278">
        <f>D15/'- 3 -'!D15</f>
        <v>0.0076088227395106995</v>
      </c>
    </row>
    <row r="16" spans="1:5" ht="13.5" customHeight="1">
      <c r="A16" s="388" t="s">
        <v>331</v>
      </c>
      <c r="B16" s="361">
        <v>0</v>
      </c>
      <c r="C16" s="279">
        <f>B16/'- 3 -'!D16</f>
        <v>0</v>
      </c>
      <c r="D16" s="361">
        <v>0</v>
      </c>
      <c r="E16" s="279">
        <f>D16/'- 3 -'!D16</f>
        <v>0</v>
      </c>
    </row>
    <row r="17" spans="1:5" ht="13.5" customHeight="1">
      <c r="A17" s="387" t="s">
        <v>332</v>
      </c>
      <c r="B17" s="362">
        <v>0</v>
      </c>
      <c r="C17" s="278">
        <f>B17/'- 3 -'!D17</f>
        <v>0</v>
      </c>
      <c r="D17" s="362">
        <v>1691</v>
      </c>
      <c r="E17" s="278">
        <f>D17/'- 3 -'!D17</f>
        <v>0.00013738274735922086</v>
      </c>
    </row>
    <row r="18" spans="1:5" ht="13.5" customHeight="1">
      <c r="A18" s="388" t="s">
        <v>333</v>
      </c>
      <c r="B18" s="361">
        <v>0</v>
      </c>
      <c r="C18" s="279">
        <f>B18/'- 3 -'!D18</f>
        <v>0</v>
      </c>
      <c r="D18" s="361">
        <v>1279274</v>
      </c>
      <c r="E18" s="279">
        <f>D18/'- 3 -'!D18</f>
        <v>0.01768660540447591</v>
      </c>
    </row>
    <row r="19" spans="1:5" ht="13.5" customHeight="1">
      <c r="A19" s="387" t="s">
        <v>334</v>
      </c>
      <c r="B19" s="362">
        <v>0</v>
      </c>
      <c r="C19" s="278">
        <f>B19/'- 3 -'!D19</f>
        <v>0</v>
      </c>
      <c r="D19" s="362">
        <v>0</v>
      </c>
      <c r="E19" s="278">
        <f>D19/'- 3 -'!D19</f>
        <v>0</v>
      </c>
    </row>
    <row r="20" spans="1:5" ht="13.5" customHeight="1">
      <c r="A20" s="388" t="s">
        <v>335</v>
      </c>
      <c r="B20" s="361">
        <v>0</v>
      </c>
      <c r="C20" s="279">
        <f>B20/'- 3 -'!D20</f>
        <v>0</v>
      </c>
      <c r="D20" s="361">
        <v>0</v>
      </c>
      <c r="E20" s="279">
        <f>D20/'- 3 -'!D20</f>
        <v>0</v>
      </c>
    </row>
    <row r="21" spans="1:5" ht="13.5" customHeight="1">
      <c r="A21" s="387" t="s">
        <v>336</v>
      </c>
      <c r="B21" s="362">
        <v>0</v>
      </c>
      <c r="C21" s="278">
        <f>B21/'- 3 -'!D21</f>
        <v>0</v>
      </c>
      <c r="D21" s="362">
        <v>0</v>
      </c>
      <c r="E21" s="278">
        <f>D21/'- 3 -'!D21</f>
        <v>0</v>
      </c>
    </row>
    <row r="22" spans="1:5" ht="13.5" customHeight="1">
      <c r="A22" s="388" t="s">
        <v>337</v>
      </c>
      <c r="B22" s="361">
        <v>111428</v>
      </c>
      <c r="C22" s="279">
        <f>B22/'- 3 -'!D22</f>
        <v>0.008703527596879547</v>
      </c>
      <c r="D22" s="361">
        <v>304567</v>
      </c>
      <c r="E22" s="279">
        <f>D22/'- 3 -'!D22</f>
        <v>0.02378941818572363</v>
      </c>
    </row>
    <row r="23" spans="1:5" ht="13.5" customHeight="1">
      <c r="A23" s="387" t="s">
        <v>338</v>
      </c>
      <c r="B23" s="362">
        <v>6570</v>
      </c>
      <c r="C23" s="278">
        <f>B23/'- 3 -'!D23</f>
        <v>0.000613742736793765</v>
      </c>
      <c r="D23" s="362">
        <v>94545</v>
      </c>
      <c r="E23" s="278">
        <f>D23/'- 3 -'!D23</f>
        <v>0.008832010205504797</v>
      </c>
    </row>
    <row r="24" spans="1:5" ht="13.5" customHeight="1">
      <c r="A24" s="388" t="s">
        <v>339</v>
      </c>
      <c r="B24" s="361">
        <v>56667</v>
      </c>
      <c r="C24" s="279">
        <f>B24/'- 3 -'!D24</f>
        <v>0.0016995319517436902</v>
      </c>
      <c r="D24" s="361">
        <v>207155</v>
      </c>
      <c r="E24" s="279">
        <f>D24/'- 3 -'!D24</f>
        <v>0.006212902420517482</v>
      </c>
    </row>
    <row r="25" spans="1:5" ht="13.5" customHeight="1">
      <c r="A25" s="387" t="s">
        <v>340</v>
      </c>
      <c r="B25" s="362">
        <v>0</v>
      </c>
      <c r="C25" s="278">
        <f>B25/'- 3 -'!D25</f>
        <v>0</v>
      </c>
      <c r="D25" s="362">
        <v>0</v>
      </c>
      <c r="E25" s="278">
        <f>D25/'- 3 -'!D25</f>
        <v>0</v>
      </c>
    </row>
    <row r="26" spans="1:5" ht="13.5" customHeight="1">
      <c r="A26" s="388" t="s">
        <v>341</v>
      </c>
      <c r="B26" s="361">
        <v>4900</v>
      </c>
      <c r="C26" s="279">
        <f>B26/'- 3 -'!D26</f>
        <v>0.00018980216260157986</v>
      </c>
      <c r="D26" s="361">
        <v>65100</v>
      </c>
      <c r="E26" s="279">
        <f>D26/'- 3 -'!D26</f>
        <v>0.002521657303135275</v>
      </c>
    </row>
    <row r="27" spans="1:5" ht="13.5" customHeight="1">
      <c r="A27" s="387" t="s">
        <v>342</v>
      </c>
      <c r="B27" s="362">
        <v>0</v>
      </c>
      <c r="C27" s="278">
        <f>B27/'- 3 -'!D27</f>
        <v>0</v>
      </c>
      <c r="D27" s="362">
        <v>0</v>
      </c>
      <c r="E27" s="278">
        <f>D27/'- 3 -'!D27</f>
        <v>0</v>
      </c>
    </row>
    <row r="28" spans="1:5" ht="13.5" customHeight="1">
      <c r="A28" s="388" t="s">
        <v>343</v>
      </c>
      <c r="B28" s="361">
        <v>0</v>
      </c>
      <c r="C28" s="279">
        <f>B28/'- 3 -'!D28</f>
        <v>0</v>
      </c>
      <c r="D28" s="361">
        <v>0</v>
      </c>
      <c r="E28" s="279">
        <f>D28/'- 3 -'!D28</f>
        <v>0</v>
      </c>
    </row>
    <row r="29" spans="1:5" ht="13.5" customHeight="1">
      <c r="A29" s="387" t="s">
        <v>344</v>
      </c>
      <c r="B29" s="362">
        <v>0</v>
      </c>
      <c r="C29" s="278">
        <f>B29/'- 3 -'!D29</f>
        <v>0</v>
      </c>
      <c r="D29" s="362">
        <v>0</v>
      </c>
      <c r="E29" s="278">
        <f>D29/'- 3 -'!D29</f>
        <v>0</v>
      </c>
    </row>
    <row r="30" spans="1:5" ht="13.5" customHeight="1">
      <c r="A30" s="388" t="s">
        <v>345</v>
      </c>
      <c r="B30" s="361">
        <v>0</v>
      </c>
      <c r="C30" s="279">
        <f>B30/'- 3 -'!D30</f>
        <v>0</v>
      </c>
      <c r="D30" s="361">
        <v>0</v>
      </c>
      <c r="E30" s="279">
        <f>D30/'- 3 -'!D30</f>
        <v>0</v>
      </c>
    </row>
    <row r="31" spans="1:5" ht="13.5" customHeight="1">
      <c r="A31" s="387" t="s">
        <v>346</v>
      </c>
      <c r="B31" s="362">
        <v>100271</v>
      </c>
      <c r="C31" s="278">
        <f>B31/'- 3 -'!D31</f>
        <v>0.004110286238184019</v>
      </c>
      <c r="D31" s="362">
        <v>108767</v>
      </c>
      <c r="E31" s="278">
        <f>D31/'- 3 -'!D31</f>
        <v>0.004458552355801389</v>
      </c>
    </row>
    <row r="32" spans="1:5" ht="13.5" customHeight="1">
      <c r="A32" s="388" t="s">
        <v>347</v>
      </c>
      <c r="B32" s="361">
        <v>97054</v>
      </c>
      <c r="C32" s="279">
        <f>B32/'- 3 -'!D32</f>
        <v>0.005339112356479793</v>
      </c>
      <c r="D32" s="361">
        <v>149210</v>
      </c>
      <c r="E32" s="279">
        <f>D32/'- 3 -'!D32</f>
        <v>0.00820830624920508</v>
      </c>
    </row>
    <row r="33" spans="1:5" ht="13.5" customHeight="1">
      <c r="A33" s="387" t="s">
        <v>348</v>
      </c>
      <c r="B33" s="362">
        <v>0</v>
      </c>
      <c r="C33" s="278">
        <f>B33/'- 3 -'!D33</f>
        <v>0</v>
      </c>
      <c r="D33" s="362">
        <v>0</v>
      </c>
      <c r="E33" s="278">
        <f>D33/'- 3 -'!D33</f>
        <v>0</v>
      </c>
    </row>
    <row r="34" spans="1:5" ht="13.5" customHeight="1">
      <c r="A34" s="388" t="s">
        <v>349</v>
      </c>
      <c r="B34" s="361">
        <v>193767</v>
      </c>
      <c r="C34" s="279">
        <f>B34/'- 3 -'!D34</f>
        <v>0.011791866073057239</v>
      </c>
      <c r="D34" s="361">
        <v>0</v>
      </c>
      <c r="E34" s="279">
        <f>D34/'- 3 -'!D34</f>
        <v>0</v>
      </c>
    </row>
    <row r="35" spans="1:5" ht="13.5" customHeight="1">
      <c r="A35" s="387" t="s">
        <v>350</v>
      </c>
      <c r="B35" s="362">
        <v>156208</v>
      </c>
      <c r="C35" s="278">
        <f>B35/'- 3 -'!D35</f>
        <v>0.0012764784935461833</v>
      </c>
      <c r="D35" s="362">
        <v>614214</v>
      </c>
      <c r="E35" s="278">
        <f>D35/'- 3 -'!D35</f>
        <v>0.005019147299978076</v>
      </c>
    </row>
    <row r="36" spans="1:5" ht="13.5" customHeight="1">
      <c r="A36" s="388" t="s">
        <v>351</v>
      </c>
      <c r="B36" s="361">
        <v>9440</v>
      </c>
      <c r="C36" s="279">
        <f>B36/'- 3 -'!D36</f>
        <v>0.0005929002084257778</v>
      </c>
      <c r="D36" s="361">
        <v>120212</v>
      </c>
      <c r="E36" s="279">
        <f>D36/'- 3 -'!D36</f>
        <v>0.007550182188059279</v>
      </c>
    </row>
    <row r="37" spans="1:5" ht="13.5" customHeight="1">
      <c r="A37" s="387" t="s">
        <v>352</v>
      </c>
      <c r="B37" s="362">
        <v>96880</v>
      </c>
      <c r="C37" s="278">
        <f>B37/'- 3 -'!D37</f>
        <v>0.0041419181570140125</v>
      </c>
      <c r="D37" s="362">
        <v>174935</v>
      </c>
      <c r="E37" s="278">
        <f>D37/'- 3 -'!D37</f>
        <v>0.0074790096283778515</v>
      </c>
    </row>
    <row r="38" spans="1:5" ht="13.5" customHeight="1">
      <c r="A38" s="388" t="s">
        <v>353</v>
      </c>
      <c r="B38" s="361">
        <v>34108</v>
      </c>
      <c r="C38" s="279">
        <f>B38/'- 3 -'!D38</f>
        <v>0.0005542360251685144</v>
      </c>
      <c r="D38" s="361">
        <v>0</v>
      </c>
      <c r="E38" s="279">
        <f>D38/'- 3 -'!D38</f>
        <v>0</v>
      </c>
    </row>
    <row r="39" spans="1:5" ht="13.5" customHeight="1">
      <c r="A39" s="387" t="s">
        <v>354</v>
      </c>
      <c r="B39" s="362">
        <v>0</v>
      </c>
      <c r="C39" s="278">
        <f>B39/'- 3 -'!D39</f>
        <v>0</v>
      </c>
      <c r="D39" s="362">
        <v>25216</v>
      </c>
      <c r="E39" s="278">
        <f>D39/'- 3 -'!D39</f>
        <v>0.0017175587476832618</v>
      </c>
    </row>
    <row r="40" spans="1:5" ht="13.5" customHeight="1">
      <c r="A40" s="388" t="s">
        <v>355</v>
      </c>
      <c r="B40" s="361">
        <v>0</v>
      </c>
      <c r="C40" s="279">
        <f>B40/'- 3 -'!D40</f>
        <v>0</v>
      </c>
      <c r="D40" s="361">
        <v>0</v>
      </c>
      <c r="E40" s="279">
        <f>D40/'- 3 -'!D40</f>
        <v>0</v>
      </c>
    </row>
    <row r="41" spans="1:5" ht="13.5" customHeight="1">
      <c r="A41" s="387" t="s">
        <v>356</v>
      </c>
      <c r="B41" s="362">
        <v>301866</v>
      </c>
      <c r="C41" s="278">
        <f>B41/'- 3 -'!D41</f>
        <v>0.008037233703365515</v>
      </c>
      <c r="D41" s="362">
        <v>832626</v>
      </c>
      <c r="E41" s="278">
        <f>D41/'- 3 -'!D41</f>
        <v>0.022168809171945216</v>
      </c>
    </row>
    <row r="42" spans="1:5" ht="13.5" customHeight="1">
      <c r="A42" s="388" t="s">
        <v>357</v>
      </c>
      <c r="B42" s="361">
        <v>0</v>
      </c>
      <c r="C42" s="279">
        <f>B42/'- 3 -'!D42</f>
        <v>0</v>
      </c>
      <c r="D42" s="361">
        <v>0</v>
      </c>
      <c r="E42" s="279">
        <f>D42/'- 3 -'!D42</f>
        <v>0</v>
      </c>
    </row>
    <row r="43" spans="1:5" ht="13.5" customHeight="1">
      <c r="A43" s="387" t="s">
        <v>358</v>
      </c>
      <c r="B43" s="362">
        <v>24850</v>
      </c>
      <c r="C43" s="278">
        <f>B43/'- 3 -'!D43</f>
        <v>0.002726409671743567</v>
      </c>
      <c r="D43" s="362">
        <v>169884</v>
      </c>
      <c r="E43" s="278">
        <f>D43/'- 3 -'!D43</f>
        <v>0.018638767833983265</v>
      </c>
    </row>
    <row r="44" spans="1:5" ht="13.5" customHeight="1">
      <c r="A44" s="388" t="s">
        <v>359</v>
      </c>
      <c r="B44" s="361">
        <v>0</v>
      </c>
      <c r="C44" s="279">
        <f>B44/'- 3 -'!D44</f>
        <v>0</v>
      </c>
      <c r="D44" s="361">
        <v>0</v>
      </c>
      <c r="E44" s="279">
        <f>D44/'- 3 -'!D44</f>
        <v>0</v>
      </c>
    </row>
    <row r="45" spans="1:5" ht="13.5" customHeight="1">
      <c r="A45" s="387" t="s">
        <v>360</v>
      </c>
      <c r="B45" s="362">
        <v>38464</v>
      </c>
      <c r="C45" s="278">
        <f>B45/'- 3 -'!D45</f>
        <v>0.0038896529407005907</v>
      </c>
      <c r="D45" s="362">
        <v>220802</v>
      </c>
      <c r="E45" s="278">
        <f>D45/'- 3 -'!D45</f>
        <v>0.022328492840385083</v>
      </c>
    </row>
    <row r="46" spans="1:5" ht="13.5" customHeight="1">
      <c r="A46" s="388" t="s">
        <v>361</v>
      </c>
      <c r="B46" s="361">
        <v>111714</v>
      </c>
      <c r="C46" s="279">
        <f>B46/'- 3 -'!D46</f>
        <v>0.0004458421300291544</v>
      </c>
      <c r="D46" s="361">
        <v>282245.02</v>
      </c>
      <c r="E46" s="279">
        <f>D46/'- 3 -'!D46</f>
        <v>0.0011264185411579684</v>
      </c>
    </row>
    <row r="47" spans="1:5" ht="13.5" customHeight="1">
      <c r="A47" s="387" t="s">
        <v>365</v>
      </c>
      <c r="B47" s="362">
        <v>49842</v>
      </c>
      <c r="C47" s="278">
        <f>B47/'- 3 -'!D47</f>
        <v>0.008960776780437956</v>
      </c>
      <c r="D47" s="362">
        <v>0</v>
      </c>
      <c r="E47" s="278">
        <f>D47/'- 3 -'!D47</f>
        <v>0</v>
      </c>
    </row>
    <row r="48" spans="1:5" ht="4.5" customHeight="1">
      <c r="A48" s="389"/>
      <c r="B48" s="322"/>
      <c r="C48" s="162"/>
      <c r="D48" s="322"/>
      <c r="E48" s="162"/>
    </row>
    <row r="49" spans="1:5" ht="13.5" customHeight="1">
      <c r="A49" s="383" t="s">
        <v>362</v>
      </c>
      <c r="B49" s="363">
        <f>SUM(B11:B47)</f>
        <v>1490205</v>
      </c>
      <c r="C49" s="81">
        <f>B49/'- 3 -'!D49</f>
        <v>0.0011059054015729302</v>
      </c>
      <c r="D49" s="363">
        <f>SUM(D11:D47)</f>
        <v>5122940.02</v>
      </c>
      <c r="E49" s="81">
        <f>D49/'- 3 -'!D49</f>
        <v>0.0038018172265239583</v>
      </c>
    </row>
    <row r="50" spans="1:5" ht="4.5" customHeight="1">
      <c r="A50" s="389" t="s">
        <v>15</v>
      </c>
      <c r="B50" s="322"/>
      <c r="C50" s="162"/>
      <c r="D50" s="322"/>
      <c r="E50" s="162"/>
    </row>
    <row r="51" spans="1:5" ht="13.5" customHeight="1">
      <c r="A51" s="388" t="s">
        <v>363</v>
      </c>
      <c r="B51" s="361">
        <v>0</v>
      </c>
      <c r="C51" s="279">
        <f>B51/'- 3 -'!D51</f>
        <v>0</v>
      </c>
      <c r="D51" s="361">
        <v>0</v>
      </c>
      <c r="E51" s="279">
        <f>D51/'- 3 -'!D51</f>
        <v>0</v>
      </c>
    </row>
    <row r="52" spans="1:5" ht="13.5" customHeight="1">
      <c r="A52" s="387" t="s">
        <v>364</v>
      </c>
      <c r="B52" s="362">
        <v>0</v>
      </c>
      <c r="C52" s="278">
        <f>B52/'- 3 -'!D52</f>
        <v>0</v>
      </c>
      <c r="D52" s="362">
        <v>0</v>
      </c>
      <c r="E52" s="278">
        <f>D52/'- 3 -'!D52</f>
        <v>0</v>
      </c>
    </row>
    <row r="53" ht="49.5" customHeight="1"/>
    <row r="54" ht="12" customHeight="1">
      <c r="A54" s="277"/>
    </row>
    <row r="55" ht="12" customHeight="1">
      <c r="A55" s="3"/>
    </row>
    <row r="56" ht="12" customHeight="1">
      <c r="A56" s="3"/>
    </row>
    <row r="57" ht="12" customHeight="1">
      <c r="A57" s="3"/>
    </row>
    <row r="58" ht="12" customHeight="1">
      <c r="A58" s="3"/>
    </row>
    <row r="59" ht="12" customHeight="1">
      <c r="A59" s="229"/>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60"/>
  <sheetViews>
    <sheetView showGridLines="0" showZeros="0" workbookViewId="0" topLeftCell="A1">
      <selection activeCell="A1" sqref="A1"/>
    </sheetView>
  </sheetViews>
  <sheetFormatPr defaultColWidth="15.83203125" defaultRowHeight="12"/>
  <cols>
    <col min="1" max="1" width="32.83203125" style="9" customWidth="1"/>
    <col min="2" max="2" width="18.83203125" style="9" customWidth="1"/>
    <col min="3" max="3" width="19.83203125" style="9" customWidth="1"/>
    <col min="4" max="4" width="21.83203125" style="9" customWidth="1"/>
    <col min="5" max="5" width="19.83203125" style="9" customWidth="1"/>
    <col min="6" max="6" width="20.83203125" style="9" customWidth="1"/>
    <col min="7" max="16384" width="15.83203125" style="9" customWidth="1"/>
  </cols>
  <sheetData>
    <row r="1" spans="1:6" ht="6.75" customHeight="1">
      <c r="A1" s="12"/>
      <c r="B1" s="43"/>
      <c r="C1" s="43"/>
      <c r="D1" s="43"/>
      <c r="E1" s="43"/>
      <c r="F1" s="43"/>
    </row>
    <row r="2" spans="1:6" ht="15.75" customHeight="1">
      <c r="A2" s="360" t="s">
        <v>23</v>
      </c>
      <c r="B2" s="44"/>
      <c r="C2" s="44"/>
      <c r="D2" s="44"/>
      <c r="E2" s="44"/>
      <c r="F2" s="44"/>
    </row>
    <row r="3" spans="1:6" ht="15.75" customHeight="1">
      <c r="A3" s="456" t="s">
        <v>556</v>
      </c>
      <c r="B3" s="47"/>
      <c r="C3" s="216"/>
      <c r="D3" s="47"/>
      <c r="E3" s="47"/>
      <c r="F3" s="47"/>
    </row>
    <row r="4" spans="2:6" ht="15.75" customHeight="1">
      <c r="B4" s="43"/>
      <c r="C4" s="43"/>
      <c r="D4" s="43"/>
      <c r="E4" s="43"/>
      <c r="F4" s="43"/>
    </row>
    <row r="5" spans="2:6" ht="15.75" customHeight="1">
      <c r="B5" s="43"/>
      <c r="C5" s="43"/>
      <c r="D5" s="43"/>
      <c r="E5" s="43"/>
      <c r="F5" s="43"/>
    </row>
    <row r="6" spans="2:6" ht="15.75" customHeight="1">
      <c r="B6" s="64"/>
      <c r="C6" s="249" t="s">
        <v>48</v>
      </c>
      <c r="D6" s="316"/>
      <c r="E6" s="317" t="s">
        <v>48</v>
      </c>
      <c r="F6" s="317" t="s">
        <v>49</v>
      </c>
    </row>
    <row r="7" spans="2:6" ht="15.75" customHeight="1">
      <c r="B7" s="64"/>
      <c r="C7" s="288" t="s">
        <v>146</v>
      </c>
      <c r="D7" s="318"/>
      <c r="E7" s="191" t="s">
        <v>302</v>
      </c>
      <c r="F7" s="191" t="s">
        <v>86</v>
      </c>
    </row>
    <row r="8" spans="1:6" ht="15.75" customHeight="1">
      <c r="A8" s="384"/>
      <c r="B8" s="319" t="s">
        <v>81</v>
      </c>
      <c r="C8" s="288" t="s">
        <v>162</v>
      </c>
      <c r="D8" s="191" t="s">
        <v>108</v>
      </c>
      <c r="E8" s="191" t="s">
        <v>109</v>
      </c>
      <c r="F8" s="191" t="s">
        <v>110</v>
      </c>
    </row>
    <row r="9" spans="1:6" ht="16.5">
      <c r="A9" s="385" t="s">
        <v>112</v>
      </c>
      <c r="B9" s="320" t="s">
        <v>264</v>
      </c>
      <c r="C9" s="320" t="s">
        <v>265</v>
      </c>
      <c r="D9" s="321" t="s">
        <v>266</v>
      </c>
      <c r="E9" s="321" t="s">
        <v>303</v>
      </c>
      <c r="F9" s="321" t="s">
        <v>304</v>
      </c>
    </row>
    <row r="10" ht="4.5" customHeight="1">
      <c r="A10" s="386"/>
    </row>
    <row r="11" spans="1:6" ht="13.5" customHeight="1">
      <c r="A11" s="387" t="s">
        <v>327</v>
      </c>
      <c r="B11" s="362">
        <v>11200420.04</v>
      </c>
      <c r="C11" s="362">
        <v>-28730</v>
      </c>
      <c r="D11" s="362">
        <f>B11+C11</f>
        <v>11171690.04</v>
      </c>
      <c r="E11" s="362">
        <f>-'- 15 -'!H11-'- 16 -'!B11</f>
        <v>-5075</v>
      </c>
      <c r="F11" s="362">
        <f>D11+E11</f>
        <v>11166615.04</v>
      </c>
    </row>
    <row r="12" spans="1:6" ht="13.5" customHeight="1">
      <c r="A12" s="388" t="s">
        <v>328</v>
      </c>
      <c r="B12" s="361">
        <v>18463311</v>
      </c>
      <c r="C12" s="361">
        <v>-106763</v>
      </c>
      <c r="D12" s="361">
        <f aca="true" t="shared" si="0" ref="D12:D47">B12+C12</f>
        <v>18356548</v>
      </c>
      <c r="E12" s="361">
        <f>-'- 15 -'!H12-'- 16 -'!B12</f>
        <v>-473140</v>
      </c>
      <c r="F12" s="361">
        <f aca="true" t="shared" si="1" ref="F12:F47">D12+E12</f>
        <v>17883408</v>
      </c>
    </row>
    <row r="13" spans="1:6" ht="13.5" customHeight="1">
      <c r="A13" s="387" t="s">
        <v>329</v>
      </c>
      <c r="B13" s="362">
        <v>46633443</v>
      </c>
      <c r="C13" s="362">
        <v>-101369</v>
      </c>
      <c r="D13" s="362">
        <f t="shared" si="0"/>
        <v>46532074</v>
      </c>
      <c r="E13" s="362">
        <f>-'- 15 -'!H13-'- 16 -'!B13</f>
        <v>-59986</v>
      </c>
      <c r="F13" s="362">
        <f t="shared" si="1"/>
        <v>46472088</v>
      </c>
    </row>
    <row r="14" spans="1:6" ht="13.5" customHeight="1">
      <c r="A14" s="388" t="s">
        <v>366</v>
      </c>
      <c r="B14" s="361">
        <v>39510442</v>
      </c>
      <c r="C14" s="361">
        <v>-29214</v>
      </c>
      <c r="D14" s="361">
        <f t="shared" si="0"/>
        <v>39481228</v>
      </c>
      <c r="E14" s="361">
        <f>-'- 15 -'!H14-'- 16 -'!B14</f>
        <v>-153070</v>
      </c>
      <c r="F14" s="361">
        <f t="shared" si="1"/>
        <v>39328158</v>
      </c>
    </row>
    <row r="15" spans="1:6" ht="13.5" customHeight="1">
      <c r="A15" s="387" t="s">
        <v>330</v>
      </c>
      <c r="B15" s="362">
        <v>12624820</v>
      </c>
      <c r="C15" s="362">
        <v>-69264</v>
      </c>
      <c r="D15" s="362">
        <f t="shared" si="0"/>
        <v>12555556</v>
      </c>
      <c r="E15" s="362">
        <f>-'- 15 -'!H15-'- 16 -'!B15</f>
        <v>-265660</v>
      </c>
      <c r="F15" s="362">
        <f t="shared" si="1"/>
        <v>12289896</v>
      </c>
    </row>
    <row r="16" spans="1:6" ht="13.5" customHeight="1">
      <c r="A16" s="388" t="s">
        <v>331</v>
      </c>
      <c r="B16" s="361">
        <v>10783848</v>
      </c>
      <c r="C16" s="361">
        <v>0</v>
      </c>
      <c r="D16" s="361">
        <f t="shared" si="0"/>
        <v>10783848</v>
      </c>
      <c r="E16" s="361">
        <f>-'- 15 -'!H16-'- 16 -'!B16</f>
        <v>-5000</v>
      </c>
      <c r="F16" s="361">
        <f t="shared" si="1"/>
        <v>10778848</v>
      </c>
    </row>
    <row r="17" spans="1:6" ht="13.5" customHeight="1">
      <c r="A17" s="387" t="s">
        <v>332</v>
      </c>
      <c r="B17" s="362">
        <v>12343351</v>
      </c>
      <c r="C17" s="362">
        <v>-34673</v>
      </c>
      <c r="D17" s="362">
        <f t="shared" si="0"/>
        <v>12308678</v>
      </c>
      <c r="E17" s="362">
        <f>-'- 15 -'!H17-'- 16 -'!B17</f>
        <v>-52426</v>
      </c>
      <c r="F17" s="362">
        <f t="shared" si="1"/>
        <v>12256252</v>
      </c>
    </row>
    <row r="18" spans="1:6" ht="13.5" customHeight="1">
      <c r="A18" s="388" t="s">
        <v>333</v>
      </c>
      <c r="B18" s="361">
        <v>74643556.53</v>
      </c>
      <c r="C18" s="361">
        <v>-2313453</v>
      </c>
      <c r="D18" s="361">
        <f t="shared" si="0"/>
        <v>72330103.53</v>
      </c>
      <c r="E18" s="361">
        <f>-'- 15 -'!H18-'- 16 -'!B18</f>
        <v>-1907686.13</v>
      </c>
      <c r="F18" s="361">
        <f t="shared" si="1"/>
        <v>70422417.4</v>
      </c>
    </row>
    <row r="19" spans="1:6" ht="13.5" customHeight="1">
      <c r="A19" s="387" t="s">
        <v>334</v>
      </c>
      <c r="B19" s="362">
        <v>17843586</v>
      </c>
      <c r="C19" s="362">
        <v>-162958</v>
      </c>
      <c r="D19" s="362">
        <f t="shared" si="0"/>
        <v>17680628</v>
      </c>
      <c r="E19" s="362">
        <f>-'- 15 -'!H19-'- 16 -'!B19</f>
        <v>0</v>
      </c>
      <c r="F19" s="362">
        <f t="shared" si="1"/>
        <v>17680628</v>
      </c>
    </row>
    <row r="20" spans="1:6" ht="13.5" customHeight="1">
      <c r="A20" s="388" t="s">
        <v>335</v>
      </c>
      <c r="B20" s="361">
        <v>33581731</v>
      </c>
      <c r="C20" s="361">
        <v>-144151</v>
      </c>
      <c r="D20" s="361">
        <f t="shared" si="0"/>
        <v>33437580</v>
      </c>
      <c r="E20" s="361">
        <f>-'- 15 -'!H20-'- 16 -'!B20</f>
        <v>-111829</v>
      </c>
      <c r="F20" s="361">
        <f t="shared" si="1"/>
        <v>33325751</v>
      </c>
    </row>
    <row r="21" spans="1:6" ht="13.5" customHeight="1">
      <c r="A21" s="387" t="s">
        <v>336</v>
      </c>
      <c r="B21" s="362">
        <v>23525058</v>
      </c>
      <c r="C21" s="362">
        <v>-261684</v>
      </c>
      <c r="D21" s="362">
        <f t="shared" si="0"/>
        <v>23263374</v>
      </c>
      <c r="E21" s="362">
        <f>-'- 15 -'!H21-'- 16 -'!B21</f>
        <v>-82715</v>
      </c>
      <c r="F21" s="362">
        <f t="shared" si="1"/>
        <v>23180659</v>
      </c>
    </row>
    <row r="22" spans="1:6" ht="13.5" customHeight="1">
      <c r="A22" s="388" t="s">
        <v>337</v>
      </c>
      <c r="B22" s="361">
        <v>12818024</v>
      </c>
      <c r="C22" s="361">
        <v>-15399</v>
      </c>
      <c r="D22" s="361">
        <f t="shared" si="0"/>
        <v>12802625</v>
      </c>
      <c r="E22" s="361">
        <f>-'- 15 -'!H22-'- 16 -'!B22</f>
        <v>-449597</v>
      </c>
      <c r="F22" s="361">
        <f t="shared" si="1"/>
        <v>12353028</v>
      </c>
    </row>
    <row r="23" spans="1:6" ht="13.5" customHeight="1">
      <c r="A23" s="387" t="s">
        <v>338</v>
      </c>
      <c r="B23" s="362">
        <v>10725348</v>
      </c>
      <c r="C23" s="362">
        <v>-20537</v>
      </c>
      <c r="D23" s="362">
        <f t="shared" si="0"/>
        <v>10704811</v>
      </c>
      <c r="E23" s="362">
        <f>-'- 15 -'!H23-'- 16 -'!B23</f>
        <v>-195033</v>
      </c>
      <c r="F23" s="362">
        <f t="shared" si="1"/>
        <v>10509778</v>
      </c>
    </row>
    <row r="24" spans="1:6" ht="13.5" customHeight="1">
      <c r="A24" s="388" t="s">
        <v>339</v>
      </c>
      <c r="B24" s="361">
        <v>33604001.41</v>
      </c>
      <c r="C24" s="361">
        <v>-261292</v>
      </c>
      <c r="D24" s="361">
        <f t="shared" si="0"/>
        <v>33342709.409999996</v>
      </c>
      <c r="E24" s="361">
        <f>-'- 15 -'!H24-'- 16 -'!B24</f>
        <v>-572276</v>
      </c>
      <c r="F24" s="361">
        <f t="shared" si="1"/>
        <v>32770433.409999996</v>
      </c>
    </row>
    <row r="25" spans="1:6" ht="13.5" customHeight="1">
      <c r="A25" s="387" t="s">
        <v>340</v>
      </c>
      <c r="B25" s="362">
        <v>104664295</v>
      </c>
      <c r="C25" s="362">
        <v>-1187530</v>
      </c>
      <c r="D25" s="362">
        <f t="shared" si="0"/>
        <v>103476765</v>
      </c>
      <c r="E25" s="362">
        <f>-'- 15 -'!H25-'- 16 -'!B25</f>
        <v>-480850</v>
      </c>
      <c r="F25" s="362">
        <f t="shared" si="1"/>
        <v>102995915</v>
      </c>
    </row>
    <row r="26" spans="1:6" ht="13.5" customHeight="1">
      <c r="A26" s="388" t="s">
        <v>341</v>
      </c>
      <c r="B26" s="361">
        <v>25832424.239999995</v>
      </c>
      <c r="C26" s="361">
        <v>-16069.29</v>
      </c>
      <c r="D26" s="361">
        <f t="shared" si="0"/>
        <v>25816354.949999996</v>
      </c>
      <c r="E26" s="361">
        <f>-'- 15 -'!H26-'- 16 -'!B26</f>
        <v>-119431.91</v>
      </c>
      <c r="F26" s="361">
        <f t="shared" si="1"/>
        <v>25696923.039999995</v>
      </c>
    </row>
    <row r="27" spans="1:6" ht="13.5" customHeight="1">
      <c r="A27" s="387" t="s">
        <v>342</v>
      </c>
      <c r="B27" s="362">
        <v>25691732</v>
      </c>
      <c r="C27" s="362">
        <v>-1395</v>
      </c>
      <c r="D27" s="362">
        <f t="shared" si="0"/>
        <v>25690337</v>
      </c>
      <c r="E27" s="362">
        <f>-'- 15 -'!H27-'- 16 -'!B27</f>
        <v>-8335</v>
      </c>
      <c r="F27" s="362">
        <f t="shared" si="1"/>
        <v>25682002</v>
      </c>
    </row>
    <row r="28" spans="1:6" ht="13.5" customHeight="1">
      <c r="A28" s="388" t="s">
        <v>343</v>
      </c>
      <c r="B28" s="361">
        <v>16138259.02</v>
      </c>
      <c r="C28" s="361">
        <v>-45345</v>
      </c>
      <c r="D28" s="361">
        <f t="shared" si="0"/>
        <v>16092914.02</v>
      </c>
      <c r="E28" s="361">
        <f>-'- 15 -'!H28-'- 16 -'!B28</f>
        <v>-23560.05</v>
      </c>
      <c r="F28" s="361">
        <f t="shared" si="1"/>
        <v>16069353.969999999</v>
      </c>
    </row>
    <row r="29" spans="1:6" ht="13.5" customHeight="1">
      <c r="A29" s="387" t="s">
        <v>344</v>
      </c>
      <c r="B29" s="362">
        <v>101392208</v>
      </c>
      <c r="C29" s="362">
        <v>-3796439</v>
      </c>
      <c r="D29" s="362">
        <f t="shared" si="0"/>
        <v>97595769</v>
      </c>
      <c r="E29" s="362">
        <f>-'- 15 -'!H29-'- 16 -'!B29</f>
        <v>-125859</v>
      </c>
      <c r="F29" s="362">
        <f t="shared" si="1"/>
        <v>97469910</v>
      </c>
    </row>
    <row r="30" spans="1:6" ht="13.5" customHeight="1">
      <c r="A30" s="388" t="s">
        <v>345</v>
      </c>
      <c r="B30" s="361">
        <v>9647882</v>
      </c>
      <c r="C30" s="361">
        <v>-12934</v>
      </c>
      <c r="D30" s="361">
        <f t="shared" si="0"/>
        <v>9634948</v>
      </c>
      <c r="E30" s="361">
        <f>-'- 15 -'!H30-'- 16 -'!B30</f>
        <v>-5006</v>
      </c>
      <c r="F30" s="361">
        <f t="shared" si="1"/>
        <v>9629942</v>
      </c>
    </row>
    <row r="31" spans="1:6" ht="13.5" customHeight="1">
      <c r="A31" s="387" t="s">
        <v>346</v>
      </c>
      <c r="B31" s="362">
        <v>24690031</v>
      </c>
      <c r="C31" s="362">
        <v>-294893</v>
      </c>
      <c r="D31" s="362">
        <f t="shared" si="0"/>
        <v>24395138</v>
      </c>
      <c r="E31" s="362">
        <f>-'- 15 -'!H31-'- 16 -'!B31</f>
        <v>-216806</v>
      </c>
      <c r="F31" s="362">
        <f t="shared" si="1"/>
        <v>24178332</v>
      </c>
    </row>
    <row r="32" spans="1:6" ht="13.5" customHeight="1">
      <c r="A32" s="388" t="s">
        <v>347</v>
      </c>
      <c r="B32" s="361">
        <v>18366178</v>
      </c>
      <c r="C32" s="361">
        <v>-188250</v>
      </c>
      <c r="D32" s="361">
        <f t="shared" si="0"/>
        <v>18177928</v>
      </c>
      <c r="E32" s="361">
        <f>-'- 15 -'!H32-'- 16 -'!B32</f>
        <v>-279445</v>
      </c>
      <c r="F32" s="361">
        <f t="shared" si="1"/>
        <v>17898483</v>
      </c>
    </row>
    <row r="33" spans="1:6" ht="13.5" customHeight="1">
      <c r="A33" s="387" t="s">
        <v>348</v>
      </c>
      <c r="B33" s="362">
        <v>21802512</v>
      </c>
      <c r="C33" s="362">
        <v>-125619</v>
      </c>
      <c r="D33" s="362">
        <f t="shared" si="0"/>
        <v>21676893</v>
      </c>
      <c r="E33" s="362">
        <f>-'- 15 -'!H33-'- 16 -'!B33</f>
        <v>-10843</v>
      </c>
      <c r="F33" s="362">
        <f t="shared" si="1"/>
        <v>21666050</v>
      </c>
    </row>
    <row r="34" spans="1:6" ht="13.5" customHeight="1">
      <c r="A34" s="388" t="s">
        <v>349</v>
      </c>
      <c r="B34" s="361">
        <v>16837463.22</v>
      </c>
      <c r="C34" s="361">
        <v>-405204</v>
      </c>
      <c r="D34" s="361">
        <f t="shared" si="0"/>
        <v>16432259.219999999</v>
      </c>
      <c r="E34" s="361">
        <f>-'- 15 -'!H34-'- 16 -'!B34</f>
        <v>-199434.43</v>
      </c>
      <c r="F34" s="361">
        <f t="shared" si="1"/>
        <v>16232824.79</v>
      </c>
    </row>
    <row r="35" spans="1:6" ht="13.5" customHeight="1">
      <c r="A35" s="387" t="s">
        <v>350</v>
      </c>
      <c r="B35" s="362">
        <v>123164856</v>
      </c>
      <c r="C35" s="362">
        <v>-790683</v>
      </c>
      <c r="D35" s="362">
        <f t="shared" si="0"/>
        <v>122374173</v>
      </c>
      <c r="E35" s="362">
        <f>-'- 15 -'!H35-'- 16 -'!B35</f>
        <v>-1306060</v>
      </c>
      <c r="F35" s="362">
        <f t="shared" si="1"/>
        <v>121068113</v>
      </c>
    </row>
    <row r="36" spans="1:6" ht="13.5" customHeight="1">
      <c r="A36" s="388" t="s">
        <v>351</v>
      </c>
      <c r="B36" s="361">
        <v>16046819</v>
      </c>
      <c r="C36" s="361">
        <v>-125084</v>
      </c>
      <c r="D36" s="361">
        <f t="shared" si="0"/>
        <v>15921735</v>
      </c>
      <c r="E36" s="361">
        <f>-'- 15 -'!H36-'- 16 -'!B36</f>
        <v>-135627</v>
      </c>
      <c r="F36" s="361">
        <f t="shared" si="1"/>
        <v>15786108</v>
      </c>
    </row>
    <row r="37" spans="1:6" ht="13.5" customHeight="1">
      <c r="A37" s="387" t="s">
        <v>352</v>
      </c>
      <c r="B37" s="362">
        <v>23982586</v>
      </c>
      <c r="C37" s="362">
        <v>-592457</v>
      </c>
      <c r="D37" s="362">
        <f t="shared" si="0"/>
        <v>23390129</v>
      </c>
      <c r="E37" s="362">
        <f>-'- 15 -'!H37-'- 16 -'!B37</f>
        <v>-280613</v>
      </c>
      <c r="F37" s="362">
        <f t="shared" si="1"/>
        <v>23109516</v>
      </c>
    </row>
    <row r="38" spans="1:6" ht="13.5" customHeight="1">
      <c r="A38" s="388" t="s">
        <v>353</v>
      </c>
      <c r="B38" s="361">
        <v>63849222.62</v>
      </c>
      <c r="C38" s="361">
        <v>-2308654.25</v>
      </c>
      <c r="D38" s="361">
        <f t="shared" si="0"/>
        <v>61540568.37</v>
      </c>
      <c r="E38" s="361">
        <f>-'- 15 -'!H38-'- 16 -'!B38</f>
        <v>-627654</v>
      </c>
      <c r="F38" s="361">
        <f t="shared" si="1"/>
        <v>60912914.37</v>
      </c>
    </row>
    <row r="39" spans="1:6" ht="13.5" customHeight="1">
      <c r="A39" s="387" t="s">
        <v>354</v>
      </c>
      <c r="B39" s="362">
        <v>14782208.77</v>
      </c>
      <c r="C39" s="362">
        <v>-100906</v>
      </c>
      <c r="D39" s="362">
        <f t="shared" si="0"/>
        <v>14681302.77</v>
      </c>
      <c r="E39" s="362">
        <f>-'- 15 -'!H39-'- 16 -'!B39</f>
        <v>-50315</v>
      </c>
      <c r="F39" s="362">
        <f t="shared" si="1"/>
        <v>14630987.77</v>
      </c>
    </row>
    <row r="40" spans="1:6" ht="13.5" customHeight="1">
      <c r="A40" s="388" t="s">
        <v>355</v>
      </c>
      <c r="B40" s="361">
        <v>63220953</v>
      </c>
      <c r="C40" s="361">
        <v>-1149792</v>
      </c>
      <c r="D40" s="361">
        <f t="shared" si="0"/>
        <v>62071161</v>
      </c>
      <c r="E40" s="361">
        <f>-'- 15 -'!H40-'- 16 -'!B40</f>
        <v>-489496</v>
      </c>
      <c r="F40" s="361">
        <f t="shared" si="1"/>
        <v>61581665</v>
      </c>
    </row>
    <row r="41" spans="1:6" ht="13.5" customHeight="1">
      <c r="A41" s="387" t="s">
        <v>356</v>
      </c>
      <c r="B41" s="362">
        <v>38145167</v>
      </c>
      <c r="C41" s="362">
        <v>-586722</v>
      </c>
      <c r="D41" s="362">
        <f t="shared" si="0"/>
        <v>37558445</v>
      </c>
      <c r="E41" s="362">
        <f>-'- 15 -'!H41-'- 16 -'!B41</f>
        <v>-1219721</v>
      </c>
      <c r="F41" s="362">
        <f t="shared" si="1"/>
        <v>36338724</v>
      </c>
    </row>
    <row r="42" spans="1:6" ht="13.5" customHeight="1">
      <c r="A42" s="388" t="s">
        <v>357</v>
      </c>
      <c r="B42" s="361">
        <v>14737358</v>
      </c>
      <c r="C42" s="361">
        <v>-197310</v>
      </c>
      <c r="D42" s="361">
        <f t="shared" si="0"/>
        <v>14540048</v>
      </c>
      <c r="E42" s="361">
        <f>-'- 15 -'!H42-'- 16 -'!B42</f>
        <v>-77724</v>
      </c>
      <c r="F42" s="361">
        <f t="shared" si="1"/>
        <v>14462324</v>
      </c>
    </row>
    <row r="43" spans="1:6" ht="13.5" customHeight="1">
      <c r="A43" s="387" t="s">
        <v>358</v>
      </c>
      <c r="B43" s="362">
        <v>9147690</v>
      </c>
      <c r="C43" s="362">
        <v>-33139</v>
      </c>
      <c r="D43" s="362">
        <f t="shared" si="0"/>
        <v>9114551</v>
      </c>
      <c r="E43" s="362">
        <f>-'- 15 -'!H43-'- 16 -'!B43</f>
        <v>-203096</v>
      </c>
      <c r="F43" s="362">
        <f t="shared" si="1"/>
        <v>8911455</v>
      </c>
    </row>
    <row r="44" spans="1:6" ht="13.5" customHeight="1">
      <c r="A44" s="388" t="s">
        <v>359</v>
      </c>
      <c r="B44" s="361">
        <v>6653481.22</v>
      </c>
      <c r="C44" s="361">
        <v>-108195</v>
      </c>
      <c r="D44" s="361">
        <f t="shared" si="0"/>
        <v>6545286.22</v>
      </c>
      <c r="E44" s="361">
        <f>-'- 15 -'!H44-'- 16 -'!B44</f>
        <v>-7074</v>
      </c>
      <c r="F44" s="361">
        <f t="shared" si="1"/>
        <v>6538212.22</v>
      </c>
    </row>
    <row r="45" spans="1:6" ht="13.5" customHeight="1">
      <c r="A45" s="387" t="s">
        <v>360</v>
      </c>
      <c r="B45" s="362">
        <v>9924058</v>
      </c>
      <c r="C45" s="362">
        <v>-35258</v>
      </c>
      <c r="D45" s="362">
        <f t="shared" si="0"/>
        <v>9888800</v>
      </c>
      <c r="E45" s="362">
        <f>-'- 15 -'!H45-'- 16 -'!B45</f>
        <v>-267861</v>
      </c>
      <c r="F45" s="362">
        <f t="shared" si="1"/>
        <v>9620939</v>
      </c>
    </row>
    <row r="46" spans="1:6" ht="13.5" customHeight="1">
      <c r="A46" s="388" t="s">
        <v>361</v>
      </c>
      <c r="B46" s="361">
        <v>252759182.00000003</v>
      </c>
      <c r="C46" s="361">
        <v>-2190668</v>
      </c>
      <c r="D46" s="361">
        <f t="shared" si="0"/>
        <v>250568514.00000003</v>
      </c>
      <c r="E46" s="361">
        <f>-'- 15 -'!H46-'- 16 -'!B46</f>
        <v>-5195798.02</v>
      </c>
      <c r="F46" s="361">
        <f t="shared" si="1"/>
        <v>245372715.98000002</v>
      </c>
    </row>
    <row r="47" spans="1:6" ht="13.5" customHeight="1">
      <c r="A47" s="387" t="s">
        <v>365</v>
      </c>
      <c r="B47" s="362">
        <v>9203863</v>
      </c>
      <c r="C47" s="362">
        <v>-3641622</v>
      </c>
      <c r="D47" s="362">
        <f t="shared" si="0"/>
        <v>5562241</v>
      </c>
      <c r="E47" s="362">
        <f>-'- 15 -'!H47-'- 16 -'!B47</f>
        <v>-351860</v>
      </c>
      <c r="F47" s="362">
        <f t="shared" si="1"/>
        <v>5210381</v>
      </c>
    </row>
    <row r="48" spans="1:6" ht="4.5" customHeight="1">
      <c r="A48" s="389" t="s">
        <v>15</v>
      </c>
      <c r="B48" s="322"/>
      <c r="C48" s="322"/>
      <c r="D48" s="322"/>
      <c r="E48" s="322"/>
      <c r="F48" s="322"/>
    </row>
    <row r="49" spans="1:6" ht="13.5" customHeight="1">
      <c r="A49" s="383" t="s">
        <v>362</v>
      </c>
      <c r="B49" s="363">
        <f>SUM(B11:B47)</f>
        <v>1368981369.07</v>
      </c>
      <c r="C49" s="363">
        <f>SUM(C11:C47)</f>
        <v>-21483655.54</v>
      </c>
      <c r="D49" s="363">
        <f>SUM(D11:D47)</f>
        <v>1347497713.53</v>
      </c>
      <c r="E49" s="363">
        <f>SUM(E11:E47)</f>
        <v>-16015962.54</v>
      </c>
      <c r="F49" s="363">
        <f>SUM(F11:F47)</f>
        <v>1331481750.99</v>
      </c>
    </row>
    <row r="50" spans="1:6" ht="4.5" customHeight="1">
      <c r="A50" s="389" t="s">
        <v>15</v>
      </c>
      <c r="B50" s="322"/>
      <c r="C50" s="322"/>
      <c r="D50" s="322"/>
      <c r="E50" s="322"/>
      <c r="F50" s="322"/>
    </row>
    <row r="51" spans="1:6" ht="13.5" customHeight="1">
      <c r="A51" s="388" t="s">
        <v>363</v>
      </c>
      <c r="B51" s="361">
        <v>1342032</v>
      </c>
      <c r="C51" s="361">
        <v>-78648</v>
      </c>
      <c r="D51" s="361">
        <f>B51+C51</f>
        <v>1263384</v>
      </c>
      <c r="E51" s="361">
        <f>-'- 15 -'!H51-'- 16 -'!B51</f>
        <v>-491</v>
      </c>
      <c r="F51" s="361">
        <f>D51+E51</f>
        <v>1262893</v>
      </c>
    </row>
    <row r="52" spans="1:6" ht="13.5" customHeight="1">
      <c r="A52" s="387" t="s">
        <v>364</v>
      </c>
      <c r="B52" s="362">
        <v>2384559</v>
      </c>
      <c r="C52" s="362">
        <v>0</v>
      </c>
      <c r="D52" s="362">
        <f>B52+C52</f>
        <v>2384559</v>
      </c>
      <c r="E52" s="362">
        <f>-'- 15 -'!H52-'- 16 -'!B52</f>
        <v>-908</v>
      </c>
      <c r="F52" s="362">
        <f>D52+E52</f>
        <v>2383651</v>
      </c>
    </row>
    <row r="53" spans="1:6" ht="49.5" customHeight="1">
      <c r="A53" s="315"/>
      <c r="B53" s="315"/>
      <c r="C53" s="315"/>
      <c r="D53" s="315"/>
      <c r="E53" s="315"/>
      <c r="F53" s="315"/>
    </row>
    <row r="54" spans="1:6" ht="14.25" customHeight="1">
      <c r="A54" s="477" t="s">
        <v>529</v>
      </c>
      <c r="B54" s="481"/>
      <c r="C54" s="481"/>
      <c r="D54" s="481"/>
      <c r="E54" s="481"/>
      <c r="F54" s="202"/>
    </row>
    <row r="55" spans="1:6" ht="14.25" customHeight="1">
      <c r="A55" s="478" t="s">
        <v>530</v>
      </c>
      <c r="B55" s="481"/>
      <c r="C55" s="481"/>
      <c r="D55" s="481"/>
      <c r="E55" s="481"/>
      <c r="F55" s="202"/>
    </row>
    <row r="56" spans="1:6" ht="14.25" customHeight="1">
      <c r="A56" s="477" t="s">
        <v>523</v>
      </c>
      <c r="B56" s="202"/>
      <c r="C56" s="202"/>
      <c r="D56" s="202"/>
      <c r="E56" s="202"/>
      <c r="F56" s="202"/>
    </row>
    <row r="57" spans="1:6" ht="14.25" customHeight="1">
      <c r="A57" s="519" t="s">
        <v>524</v>
      </c>
      <c r="B57" s="202"/>
      <c r="C57" s="202"/>
      <c r="D57" s="202"/>
      <c r="E57" s="202"/>
      <c r="F57" s="202"/>
    </row>
    <row r="58" spans="1:6" ht="14.25" customHeight="1">
      <c r="A58" s="477" t="s">
        <v>525</v>
      </c>
      <c r="B58" s="202"/>
      <c r="C58" s="202"/>
      <c r="D58" s="202"/>
      <c r="E58" s="202"/>
      <c r="F58" s="202"/>
    </row>
    <row r="59" spans="1:6" ht="14.25" customHeight="1">
      <c r="A59" s="477" t="s">
        <v>526</v>
      </c>
      <c r="B59" s="202"/>
      <c r="C59" s="202"/>
      <c r="D59" s="202"/>
      <c r="E59" s="202"/>
      <c r="F59" s="202"/>
    </row>
    <row r="60" ht="14.25" customHeight="1">
      <c r="A60" s="477" t="s">
        <v>527</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8"/>
  <sheetViews>
    <sheetView showGridLines="0" showZeros="0" workbookViewId="0" topLeftCell="A1">
      <selection activeCell="A1" sqref="A1"/>
    </sheetView>
  </sheetViews>
  <sheetFormatPr defaultColWidth="15.83203125" defaultRowHeight="12"/>
  <cols>
    <col min="1" max="1" width="31.83203125" style="67" customWidth="1"/>
    <col min="2" max="2" width="14.83203125" style="67" customWidth="1"/>
    <col min="3" max="3" width="8.83203125" style="67" customWidth="1"/>
    <col min="4" max="4" width="16.83203125" style="67" customWidth="1"/>
    <col min="5" max="5" width="8.83203125" style="67" customWidth="1"/>
    <col min="6" max="6" width="18.83203125" style="67" customWidth="1"/>
    <col min="7" max="7" width="8.83203125" style="67" customWidth="1"/>
    <col min="8" max="8" width="17.83203125" style="67" customWidth="1"/>
    <col min="9" max="9" width="8.83203125" style="67" customWidth="1"/>
    <col min="10" max="16384" width="15.83203125" style="67" customWidth="1"/>
  </cols>
  <sheetData>
    <row r="1" spans="1:9" ht="6.75" customHeight="1">
      <c r="A1" s="65"/>
      <c r="B1" s="116"/>
      <c r="C1" s="116"/>
      <c r="D1" s="116"/>
      <c r="E1" s="116"/>
      <c r="F1" s="116"/>
      <c r="G1" s="116"/>
      <c r="H1" s="116"/>
      <c r="I1" s="116"/>
    </row>
    <row r="2" spans="1:9" ht="15.75" customHeight="1">
      <c r="A2" s="333"/>
      <c r="B2" s="360" t="s">
        <v>12</v>
      </c>
      <c r="C2" s="164"/>
      <c r="D2" s="164"/>
      <c r="E2" s="164"/>
      <c r="F2" s="164"/>
      <c r="G2" s="178"/>
      <c r="H2" s="178"/>
      <c r="I2" s="336" t="s">
        <v>291</v>
      </c>
    </row>
    <row r="3" spans="1:9" ht="15.75" customHeight="1">
      <c r="A3" s="334"/>
      <c r="B3" s="456" t="str">
        <f>OPYEAR</f>
        <v>OPERATING FUND 2002/2003 ACTUAL</v>
      </c>
      <c r="C3" s="167"/>
      <c r="D3" s="167"/>
      <c r="E3" s="167"/>
      <c r="F3" s="167"/>
      <c r="G3" s="179"/>
      <c r="H3" s="179"/>
      <c r="I3" s="182"/>
    </row>
    <row r="4" spans="2:9" ht="15.75" customHeight="1">
      <c r="B4" s="116"/>
      <c r="C4" s="116"/>
      <c r="D4" s="116"/>
      <c r="E4" s="116"/>
      <c r="F4" s="116"/>
      <c r="G4" s="116"/>
      <c r="H4" s="116"/>
      <c r="I4" s="116"/>
    </row>
    <row r="5" spans="2:9" ht="15.75" customHeight="1">
      <c r="B5" s="43"/>
      <c r="C5" s="116"/>
      <c r="D5" s="116"/>
      <c r="E5" s="116"/>
      <c r="F5" s="116"/>
      <c r="G5" s="116"/>
      <c r="H5" s="116"/>
      <c r="I5" s="116"/>
    </row>
    <row r="6" spans="2:9" ht="15.75" customHeight="1">
      <c r="B6" s="270" t="s">
        <v>31</v>
      </c>
      <c r="C6" s="183"/>
      <c r="D6" s="184"/>
      <c r="E6" s="184"/>
      <c r="F6" s="184"/>
      <c r="G6" s="184"/>
      <c r="H6" s="184"/>
      <c r="I6" s="185"/>
    </row>
    <row r="7" spans="2:9" ht="15.75" customHeight="1">
      <c r="B7" s="53" t="s">
        <v>323</v>
      </c>
      <c r="C7" s="52"/>
      <c r="D7" s="53" t="s">
        <v>58</v>
      </c>
      <c r="E7" s="52"/>
      <c r="F7" s="53" t="s">
        <v>59</v>
      </c>
      <c r="G7" s="52"/>
      <c r="H7" s="200"/>
      <c r="I7" s="170"/>
    </row>
    <row r="8" spans="1:9" ht="15.75" customHeight="1">
      <c r="A8" s="313"/>
      <c r="B8" s="55" t="s">
        <v>109</v>
      </c>
      <c r="C8" s="56"/>
      <c r="D8" s="54" t="s">
        <v>88</v>
      </c>
      <c r="E8" s="56"/>
      <c r="F8" s="54" t="s">
        <v>89</v>
      </c>
      <c r="G8" s="56"/>
      <c r="H8" s="54" t="s">
        <v>239</v>
      </c>
      <c r="I8" s="56"/>
    </row>
    <row r="9" spans="1:9" ht="15.75" customHeight="1">
      <c r="A9" s="314" t="s">
        <v>112</v>
      </c>
      <c r="B9" s="109" t="s">
        <v>113</v>
      </c>
      <c r="C9" s="109" t="s">
        <v>114</v>
      </c>
      <c r="D9" s="109" t="s">
        <v>113</v>
      </c>
      <c r="E9" s="109" t="s">
        <v>114</v>
      </c>
      <c r="F9" s="109" t="s">
        <v>113</v>
      </c>
      <c r="G9" s="109" t="s">
        <v>114</v>
      </c>
      <c r="H9" s="109" t="s">
        <v>113</v>
      </c>
      <c r="I9" s="109" t="s">
        <v>114</v>
      </c>
    </row>
    <row r="10" ht="4.5" customHeight="1">
      <c r="A10" s="62"/>
    </row>
    <row r="11" spans="1:9" ht="13.5" customHeight="1">
      <c r="A11" s="387" t="s">
        <v>327</v>
      </c>
      <c r="B11" s="7">
        <v>0</v>
      </c>
      <c r="C11" s="278">
        <f>B11/'- 3 -'!D11</f>
        <v>0</v>
      </c>
      <c r="D11" s="7">
        <v>0</v>
      </c>
      <c r="E11" s="278">
        <f>D11/'- 3 -'!D11</f>
        <v>0</v>
      </c>
      <c r="F11" s="7">
        <v>0</v>
      </c>
      <c r="G11" s="278">
        <f>F11/'- 3 -'!D11</f>
        <v>0</v>
      </c>
      <c r="H11" s="7">
        <v>5075</v>
      </c>
      <c r="I11" s="278">
        <f>H11/'- 3 -'!D11</f>
        <v>0.0004542732551502118</v>
      </c>
    </row>
    <row r="12" spans="1:9" ht="13.5" customHeight="1">
      <c r="A12" s="388" t="s">
        <v>328</v>
      </c>
      <c r="B12" s="8">
        <v>0</v>
      </c>
      <c r="C12" s="279">
        <f>B12/'- 3 -'!D12</f>
        <v>0</v>
      </c>
      <c r="D12" s="8">
        <v>0</v>
      </c>
      <c r="E12" s="279">
        <f>D12/'- 3 -'!D12</f>
        <v>0</v>
      </c>
      <c r="F12" s="8">
        <v>0</v>
      </c>
      <c r="G12" s="279">
        <f>F12/'- 3 -'!D12</f>
        <v>0</v>
      </c>
      <c r="H12" s="8">
        <v>0</v>
      </c>
      <c r="I12" s="279">
        <f>H12/'- 3 -'!D12</f>
        <v>0</v>
      </c>
    </row>
    <row r="13" spans="1:9" ht="13.5" customHeight="1">
      <c r="A13" s="387" t="s">
        <v>329</v>
      </c>
      <c r="B13" s="7">
        <v>0</v>
      </c>
      <c r="C13" s="278">
        <f>B13/'- 3 -'!D13</f>
        <v>0</v>
      </c>
      <c r="D13" s="7">
        <v>0</v>
      </c>
      <c r="E13" s="278">
        <f>D13/'- 3 -'!D13</f>
        <v>0</v>
      </c>
      <c r="F13" s="7">
        <v>39936</v>
      </c>
      <c r="G13" s="278">
        <f>F13/'- 3 -'!D13</f>
        <v>0.0008582467224650249</v>
      </c>
      <c r="H13" s="7">
        <v>20050</v>
      </c>
      <c r="I13" s="278">
        <f>H13/'- 3 -'!D13</f>
        <v>0.0004308855865741123</v>
      </c>
    </row>
    <row r="14" spans="1:9" ht="13.5" customHeight="1">
      <c r="A14" s="388" t="s">
        <v>366</v>
      </c>
      <c r="B14" s="8">
        <v>0</v>
      </c>
      <c r="C14" s="279">
        <f>B14/'- 3 -'!D14</f>
        <v>0</v>
      </c>
      <c r="D14" s="8">
        <v>0</v>
      </c>
      <c r="E14" s="279">
        <f>D14/'- 3 -'!D14</f>
        <v>0</v>
      </c>
      <c r="F14" s="8">
        <v>0</v>
      </c>
      <c r="G14" s="279">
        <f>F14/'- 3 -'!D14</f>
        <v>0</v>
      </c>
      <c r="H14" s="8">
        <v>153070</v>
      </c>
      <c r="I14" s="279">
        <f>H14/'- 3 -'!D14</f>
        <v>0.003877032396256773</v>
      </c>
    </row>
    <row r="15" spans="1:9" ht="13.5" customHeight="1">
      <c r="A15" s="387" t="s">
        <v>330</v>
      </c>
      <c r="B15" s="7">
        <v>164663</v>
      </c>
      <c r="C15" s="278">
        <f>B15/'- 3 -'!D15</f>
        <v>0.013114751748150381</v>
      </c>
      <c r="D15" s="7">
        <v>0</v>
      </c>
      <c r="E15" s="278">
        <f>D15/'- 3 -'!D15</f>
        <v>0</v>
      </c>
      <c r="F15" s="7">
        <v>0</v>
      </c>
      <c r="G15" s="278">
        <f>F15/'- 3 -'!D15</f>
        <v>0</v>
      </c>
      <c r="H15" s="7">
        <v>5464</v>
      </c>
      <c r="I15" s="278">
        <f>H15/'- 3 -'!D15</f>
        <v>0.00043518582530315664</v>
      </c>
    </row>
    <row r="16" spans="1:9" ht="13.5" customHeight="1">
      <c r="A16" s="388" t="s">
        <v>331</v>
      </c>
      <c r="B16" s="8">
        <v>0</v>
      </c>
      <c r="C16" s="279">
        <f>B16/'- 3 -'!D16</f>
        <v>0</v>
      </c>
      <c r="D16" s="8">
        <v>0</v>
      </c>
      <c r="E16" s="279">
        <f>D16/'- 3 -'!D16</f>
        <v>0</v>
      </c>
      <c r="F16" s="8">
        <v>0</v>
      </c>
      <c r="G16" s="279">
        <f>F16/'- 3 -'!D16</f>
        <v>0</v>
      </c>
      <c r="H16" s="8">
        <v>5000</v>
      </c>
      <c r="I16" s="279">
        <f>H16/'- 3 -'!D16</f>
        <v>0.00046365638684818256</v>
      </c>
    </row>
    <row r="17" spans="1:9" ht="13.5" customHeight="1">
      <c r="A17" s="387" t="s">
        <v>332</v>
      </c>
      <c r="B17" s="7">
        <v>0</v>
      </c>
      <c r="C17" s="278">
        <f>B17/'- 3 -'!D17</f>
        <v>0</v>
      </c>
      <c r="D17" s="7">
        <v>0</v>
      </c>
      <c r="E17" s="278">
        <f>D17/'- 3 -'!D17</f>
        <v>0</v>
      </c>
      <c r="F17" s="7">
        <v>0</v>
      </c>
      <c r="G17" s="278">
        <f>F17/'- 3 -'!D17</f>
        <v>0</v>
      </c>
      <c r="H17" s="7">
        <v>50735</v>
      </c>
      <c r="I17" s="278">
        <f>H17/'- 3 -'!D17</f>
        <v>0.004121888638243684</v>
      </c>
    </row>
    <row r="18" spans="1:9" ht="13.5" customHeight="1">
      <c r="A18" s="388" t="s">
        <v>333</v>
      </c>
      <c r="B18" s="8">
        <v>12098</v>
      </c>
      <c r="C18" s="279">
        <f>B18/'- 3 -'!D18</f>
        <v>0.00016726092469896952</v>
      </c>
      <c r="D18" s="8">
        <v>0</v>
      </c>
      <c r="E18" s="279">
        <f>D18/'- 3 -'!D18</f>
        <v>0</v>
      </c>
      <c r="F18" s="8">
        <v>0</v>
      </c>
      <c r="G18" s="279">
        <f>F18/'- 3 -'!D18</f>
        <v>0</v>
      </c>
      <c r="H18" s="8">
        <v>616314.13</v>
      </c>
      <c r="I18" s="279">
        <f>H18/'- 3 -'!D18</f>
        <v>0.008520852313509747</v>
      </c>
    </row>
    <row r="19" spans="1:9" ht="13.5" customHeight="1">
      <c r="A19" s="387" t="s">
        <v>334</v>
      </c>
      <c r="B19" s="7">
        <v>0</v>
      </c>
      <c r="C19" s="278">
        <f>B19/'- 3 -'!D19</f>
        <v>0</v>
      </c>
      <c r="D19" s="7">
        <v>0</v>
      </c>
      <c r="E19" s="278">
        <f>D19/'- 3 -'!D19</f>
        <v>0</v>
      </c>
      <c r="F19" s="7">
        <v>0</v>
      </c>
      <c r="G19" s="278">
        <f>F19/'- 3 -'!D19</f>
        <v>0</v>
      </c>
      <c r="H19" s="7">
        <v>0</v>
      </c>
      <c r="I19" s="278">
        <f>H19/'- 3 -'!D19</f>
        <v>0</v>
      </c>
    </row>
    <row r="20" spans="1:9" ht="13.5" customHeight="1">
      <c r="A20" s="388" t="s">
        <v>335</v>
      </c>
      <c r="B20" s="8">
        <v>22743</v>
      </c>
      <c r="C20" s="279">
        <f>B20/'- 3 -'!D20</f>
        <v>0.0006801628586757774</v>
      </c>
      <c r="D20" s="8">
        <v>0</v>
      </c>
      <c r="E20" s="279">
        <f>D20/'- 3 -'!D20</f>
        <v>0</v>
      </c>
      <c r="F20" s="8">
        <v>0</v>
      </c>
      <c r="G20" s="279">
        <f>F20/'- 3 -'!D20</f>
        <v>0</v>
      </c>
      <c r="H20" s="8">
        <v>89086</v>
      </c>
      <c r="I20" s="279">
        <f>H20/'- 3 -'!D20</f>
        <v>0.0026642478313322914</v>
      </c>
    </row>
    <row r="21" spans="1:9" ht="13.5" customHeight="1">
      <c r="A21" s="387" t="s">
        <v>336</v>
      </c>
      <c r="B21" s="7">
        <v>73853</v>
      </c>
      <c r="C21" s="278">
        <f>B21/'- 3 -'!D21</f>
        <v>0.003174646979410639</v>
      </c>
      <c r="D21" s="7">
        <v>0</v>
      </c>
      <c r="E21" s="278">
        <f>D21/'- 3 -'!D21</f>
        <v>0</v>
      </c>
      <c r="F21" s="7">
        <v>0</v>
      </c>
      <c r="G21" s="278">
        <f>F21/'- 3 -'!D21</f>
        <v>0</v>
      </c>
      <c r="H21" s="7">
        <v>8862</v>
      </c>
      <c r="I21" s="278">
        <f>H21/'- 3 -'!D21</f>
        <v>0.0003809421625599107</v>
      </c>
    </row>
    <row r="22" spans="1:9" ht="13.5" customHeight="1">
      <c r="A22" s="388" t="s">
        <v>337</v>
      </c>
      <c r="B22" s="8">
        <v>0</v>
      </c>
      <c r="C22" s="279">
        <f>B22/'- 3 -'!D22</f>
        <v>0</v>
      </c>
      <c r="D22" s="8">
        <v>0</v>
      </c>
      <c r="E22" s="279">
        <f>D22/'- 3 -'!D22</f>
        <v>0</v>
      </c>
      <c r="F22" s="8">
        <v>27614</v>
      </c>
      <c r="G22" s="279">
        <f>F22/'- 3 -'!D22</f>
        <v>0.002156901416701653</v>
      </c>
      <c r="H22" s="8">
        <v>5988</v>
      </c>
      <c r="I22" s="279">
        <f>H22/'- 3 -'!D22</f>
        <v>0.0004677165815604222</v>
      </c>
    </row>
    <row r="23" spans="1:9" ht="13.5" customHeight="1">
      <c r="A23" s="387" t="s">
        <v>338</v>
      </c>
      <c r="B23" s="7">
        <v>83542</v>
      </c>
      <c r="C23" s="278">
        <f>B23/'- 3 -'!D23</f>
        <v>0.007804154599273168</v>
      </c>
      <c r="D23" s="7">
        <v>0</v>
      </c>
      <c r="E23" s="278">
        <f>D23/'- 3 -'!D23</f>
        <v>0</v>
      </c>
      <c r="F23" s="7">
        <v>4253</v>
      </c>
      <c r="G23" s="278">
        <f>F23/'- 3 -'!D23</f>
        <v>0.000397297999936664</v>
      </c>
      <c r="H23" s="7">
        <v>6123</v>
      </c>
      <c r="I23" s="278">
        <f>H23/'- 3 -'!D23</f>
        <v>0.0005719858108657874</v>
      </c>
    </row>
    <row r="24" spans="1:9" ht="13.5" customHeight="1">
      <c r="A24" s="388" t="s">
        <v>339</v>
      </c>
      <c r="B24" s="8">
        <v>174962</v>
      </c>
      <c r="C24" s="279">
        <f>B24/'- 3 -'!D24</f>
        <v>0.0052473840037584405</v>
      </c>
      <c r="D24" s="8">
        <v>0</v>
      </c>
      <c r="E24" s="279">
        <f>D24/'- 3 -'!D24</f>
        <v>0</v>
      </c>
      <c r="F24" s="8">
        <v>120065</v>
      </c>
      <c r="G24" s="279">
        <f>F24/'- 3 -'!D24</f>
        <v>0.0036009371201246964</v>
      </c>
      <c r="H24" s="8">
        <v>13427</v>
      </c>
      <c r="I24" s="279">
        <f>H24/'- 3 -'!D24</f>
        <v>0.0004026967285379944</v>
      </c>
    </row>
    <row r="25" spans="1:9" ht="13.5" customHeight="1">
      <c r="A25" s="387" t="s">
        <v>340</v>
      </c>
      <c r="B25" s="7">
        <v>221139</v>
      </c>
      <c r="C25" s="278">
        <f>B25/'- 3 -'!D25</f>
        <v>0.0021370884565245153</v>
      </c>
      <c r="D25" s="7">
        <v>6799</v>
      </c>
      <c r="E25" s="278">
        <f>D25/'- 3 -'!D25</f>
        <v>6.570557168075365E-05</v>
      </c>
      <c r="F25" s="7">
        <v>114465</v>
      </c>
      <c r="G25" s="278">
        <f>F25/'- 3 -'!D25</f>
        <v>0.0011061903607056135</v>
      </c>
      <c r="H25" s="7">
        <v>138447</v>
      </c>
      <c r="I25" s="278">
        <f>H25/'- 3 -'!D25</f>
        <v>0.0013379525345617444</v>
      </c>
    </row>
    <row r="26" spans="1:9" ht="13.5" customHeight="1">
      <c r="A26" s="388" t="s">
        <v>341</v>
      </c>
      <c r="B26" s="8">
        <v>0</v>
      </c>
      <c r="C26" s="279">
        <f>B26/'- 3 -'!D26</f>
        <v>0</v>
      </c>
      <c r="D26" s="8">
        <v>0</v>
      </c>
      <c r="E26" s="279">
        <f>D26/'- 3 -'!D26</f>
        <v>0</v>
      </c>
      <c r="F26" s="8">
        <v>0</v>
      </c>
      <c r="G26" s="279">
        <f>F26/'- 3 -'!D26</f>
        <v>0</v>
      </c>
      <c r="H26" s="8">
        <v>49431.91</v>
      </c>
      <c r="I26" s="279">
        <f>H26/'- 3 -'!D26</f>
        <v>0.0019147517182707473</v>
      </c>
    </row>
    <row r="27" spans="1:9" ht="13.5" customHeight="1">
      <c r="A27" s="387" t="s">
        <v>342</v>
      </c>
      <c r="B27" s="7">
        <v>0</v>
      </c>
      <c r="C27" s="278">
        <f>B27/'- 3 -'!D27</f>
        <v>0</v>
      </c>
      <c r="D27" s="7">
        <v>0</v>
      </c>
      <c r="E27" s="278">
        <f>D27/'- 3 -'!D27</f>
        <v>0</v>
      </c>
      <c r="F27" s="7">
        <v>636</v>
      </c>
      <c r="G27" s="278">
        <f>F27/'- 3 -'!D27</f>
        <v>2.4756389922016202E-05</v>
      </c>
      <c r="H27" s="7">
        <v>7699</v>
      </c>
      <c r="I27" s="278">
        <f>H27/'- 3 -'!D27</f>
        <v>0.00029968466353711126</v>
      </c>
    </row>
    <row r="28" spans="1:9" ht="13.5" customHeight="1">
      <c r="A28" s="388" t="s">
        <v>343</v>
      </c>
      <c r="B28" s="8">
        <v>0</v>
      </c>
      <c r="C28" s="279">
        <f>B28/'- 3 -'!D28</f>
        <v>0</v>
      </c>
      <c r="D28" s="8">
        <v>0</v>
      </c>
      <c r="E28" s="279">
        <f>D28/'- 3 -'!D28</f>
        <v>0</v>
      </c>
      <c r="F28" s="8">
        <v>0</v>
      </c>
      <c r="G28" s="279">
        <f>F28/'- 3 -'!D28</f>
        <v>0</v>
      </c>
      <c r="H28" s="8">
        <v>23560.05</v>
      </c>
      <c r="I28" s="279">
        <f>H28/'- 3 -'!D28</f>
        <v>0.0014640014835548098</v>
      </c>
    </row>
    <row r="29" spans="1:9" ht="13.5" customHeight="1">
      <c r="A29" s="387" t="s">
        <v>344</v>
      </c>
      <c r="B29" s="7">
        <v>0</v>
      </c>
      <c r="C29" s="278">
        <f>B29/'- 3 -'!D29</f>
        <v>0</v>
      </c>
      <c r="D29" s="7">
        <v>0</v>
      </c>
      <c r="E29" s="278">
        <f>D29/'- 3 -'!D29</f>
        <v>0</v>
      </c>
      <c r="F29" s="7">
        <v>108648</v>
      </c>
      <c r="G29" s="278">
        <f>F29/'- 3 -'!D29</f>
        <v>0.001113244980937647</v>
      </c>
      <c r="H29" s="7">
        <v>17211</v>
      </c>
      <c r="I29" s="278">
        <f>H29/'- 3 -'!D29</f>
        <v>0.0001763498579533709</v>
      </c>
    </row>
    <row r="30" spans="1:9" ht="13.5" customHeight="1">
      <c r="A30" s="388" t="s">
        <v>345</v>
      </c>
      <c r="B30" s="8">
        <v>0</v>
      </c>
      <c r="C30" s="279">
        <f>B30/'- 3 -'!D30</f>
        <v>0</v>
      </c>
      <c r="D30" s="8">
        <v>0</v>
      </c>
      <c r="E30" s="279">
        <f>D30/'- 3 -'!D30</f>
        <v>0</v>
      </c>
      <c r="F30" s="8">
        <v>0</v>
      </c>
      <c r="G30" s="279">
        <f>F30/'- 3 -'!D30</f>
        <v>0</v>
      </c>
      <c r="H30" s="8">
        <v>5006</v>
      </c>
      <c r="I30" s="279">
        <f>H30/'- 3 -'!D30</f>
        <v>0.0005195668933553144</v>
      </c>
    </row>
    <row r="31" spans="1:9" ht="13.5" customHeight="1">
      <c r="A31" s="387" t="s">
        <v>346</v>
      </c>
      <c r="B31" s="7">
        <v>0</v>
      </c>
      <c r="C31" s="278">
        <f>B31/'- 3 -'!D31</f>
        <v>0</v>
      </c>
      <c r="D31" s="7">
        <v>0</v>
      </c>
      <c r="E31" s="278">
        <f>D31/'- 3 -'!D31</f>
        <v>0</v>
      </c>
      <c r="F31" s="7">
        <v>0</v>
      </c>
      <c r="G31" s="278">
        <f>F31/'- 3 -'!D31</f>
        <v>0</v>
      </c>
      <c r="H31" s="7">
        <v>7768</v>
      </c>
      <c r="I31" s="278">
        <f>H31/'- 3 -'!D31</f>
        <v>0.00031842410565580733</v>
      </c>
    </row>
    <row r="32" spans="1:9" ht="13.5" customHeight="1">
      <c r="A32" s="388" t="s">
        <v>347</v>
      </c>
      <c r="B32" s="8">
        <v>0</v>
      </c>
      <c r="C32" s="279">
        <f>B32/'- 3 -'!D32</f>
        <v>0</v>
      </c>
      <c r="D32" s="8">
        <v>0</v>
      </c>
      <c r="E32" s="279">
        <f>D32/'- 3 -'!D32</f>
        <v>0</v>
      </c>
      <c r="F32" s="8">
        <v>0</v>
      </c>
      <c r="G32" s="279">
        <f>F32/'- 3 -'!D32</f>
        <v>0</v>
      </c>
      <c r="H32" s="8">
        <v>33181</v>
      </c>
      <c r="I32" s="279">
        <f>H32/'- 3 -'!D32</f>
        <v>0.0018253455509340778</v>
      </c>
    </row>
    <row r="33" spans="1:9" ht="13.5" customHeight="1">
      <c r="A33" s="387" t="s">
        <v>348</v>
      </c>
      <c r="B33" s="7">
        <v>0</v>
      </c>
      <c r="C33" s="278">
        <f>B33/'- 3 -'!D33</f>
        <v>0</v>
      </c>
      <c r="D33" s="7">
        <v>0</v>
      </c>
      <c r="E33" s="278">
        <f>D33/'- 3 -'!D33</f>
        <v>0</v>
      </c>
      <c r="F33" s="7">
        <v>0</v>
      </c>
      <c r="G33" s="278">
        <f>F33/'- 3 -'!D33</f>
        <v>0</v>
      </c>
      <c r="H33" s="7">
        <v>10843</v>
      </c>
      <c r="I33" s="278">
        <f>H33/'- 3 -'!D33</f>
        <v>0.0005002100623922441</v>
      </c>
    </row>
    <row r="34" spans="1:9" ht="13.5" customHeight="1">
      <c r="A34" s="388" t="s">
        <v>349</v>
      </c>
      <c r="B34" s="8">
        <v>0</v>
      </c>
      <c r="C34" s="279">
        <f>B34/'- 3 -'!D34</f>
        <v>0</v>
      </c>
      <c r="D34" s="8">
        <v>0</v>
      </c>
      <c r="E34" s="279">
        <f>D34/'- 3 -'!D34</f>
        <v>0</v>
      </c>
      <c r="F34" s="8">
        <v>0</v>
      </c>
      <c r="G34" s="279">
        <f>F34/'- 3 -'!D34</f>
        <v>0</v>
      </c>
      <c r="H34" s="8">
        <v>5667.43</v>
      </c>
      <c r="I34" s="279">
        <f>H34/'- 3 -'!D34</f>
        <v>0.00034489657959521896</v>
      </c>
    </row>
    <row r="35" spans="1:9" ht="13.5" customHeight="1">
      <c r="A35" s="387" t="s">
        <v>350</v>
      </c>
      <c r="B35" s="7">
        <v>376711</v>
      </c>
      <c r="C35" s="278">
        <f>B35/'- 3 -'!D35</f>
        <v>0.0030783537961069614</v>
      </c>
      <c r="D35" s="7">
        <v>16183</v>
      </c>
      <c r="E35" s="278">
        <f>D35/'- 3 -'!D35</f>
        <v>0.00013224195598854016</v>
      </c>
      <c r="F35" s="7">
        <v>142744</v>
      </c>
      <c r="G35" s="278">
        <f>F35/'- 3 -'!D35</f>
        <v>0.0011664552781083964</v>
      </c>
      <c r="H35" s="7">
        <v>0</v>
      </c>
      <c r="I35" s="278">
        <f>H35/'- 3 -'!D35</f>
        <v>0</v>
      </c>
    </row>
    <row r="36" spans="1:9" ht="13.5" customHeight="1">
      <c r="A36" s="388" t="s">
        <v>351</v>
      </c>
      <c r="B36" s="8">
        <v>0</v>
      </c>
      <c r="C36" s="279">
        <f>B36/'- 3 -'!D36</f>
        <v>0</v>
      </c>
      <c r="D36" s="8">
        <v>0</v>
      </c>
      <c r="E36" s="279">
        <f>D36/'- 3 -'!D36</f>
        <v>0</v>
      </c>
      <c r="F36" s="8">
        <v>0</v>
      </c>
      <c r="G36" s="279">
        <f>F36/'- 3 -'!D36</f>
        <v>0</v>
      </c>
      <c r="H36" s="8">
        <v>5975</v>
      </c>
      <c r="I36" s="279">
        <f>H36/'- 3 -'!D36</f>
        <v>0.0003752731721762735</v>
      </c>
    </row>
    <row r="37" spans="1:9" ht="13.5" customHeight="1">
      <c r="A37" s="387" t="s">
        <v>352</v>
      </c>
      <c r="B37" s="7">
        <v>0</v>
      </c>
      <c r="C37" s="278">
        <f>B37/'- 3 -'!D37</f>
        <v>0</v>
      </c>
      <c r="D37" s="7">
        <v>0</v>
      </c>
      <c r="E37" s="278">
        <f>D37/'- 3 -'!D37</f>
        <v>0</v>
      </c>
      <c r="F37" s="7">
        <v>0</v>
      </c>
      <c r="G37" s="278">
        <f>F37/'- 3 -'!D37</f>
        <v>0</v>
      </c>
      <c r="H37" s="7">
        <v>8798</v>
      </c>
      <c r="I37" s="278">
        <f>H37/'- 3 -'!D37</f>
        <v>0.0003761415766454302</v>
      </c>
    </row>
    <row r="38" spans="1:9" ht="13.5" customHeight="1">
      <c r="A38" s="388" t="s">
        <v>353</v>
      </c>
      <c r="B38" s="8">
        <v>62770</v>
      </c>
      <c r="C38" s="279">
        <f>B38/'- 3 -'!D38</f>
        <v>0.0010199775800348203</v>
      </c>
      <c r="D38" s="8">
        <v>0</v>
      </c>
      <c r="E38" s="279">
        <f>D38/'- 3 -'!D38</f>
        <v>0</v>
      </c>
      <c r="F38" s="8">
        <v>85734</v>
      </c>
      <c r="G38" s="279">
        <f>F38/'- 3 -'!D38</f>
        <v>0.001393129804790589</v>
      </c>
      <c r="H38" s="8">
        <v>445042</v>
      </c>
      <c r="I38" s="279">
        <f>H38/'- 3 -'!D38</f>
        <v>0.007231684915944822</v>
      </c>
    </row>
    <row r="39" spans="1:9" ht="13.5" customHeight="1">
      <c r="A39" s="387" t="s">
        <v>354</v>
      </c>
      <c r="B39" s="7">
        <v>0</v>
      </c>
      <c r="C39" s="278">
        <f>B39/'- 3 -'!D39</f>
        <v>0</v>
      </c>
      <c r="D39" s="7">
        <v>0</v>
      </c>
      <c r="E39" s="278">
        <f>D39/'- 3 -'!D39</f>
        <v>0</v>
      </c>
      <c r="F39" s="7">
        <v>0</v>
      </c>
      <c r="G39" s="278">
        <f>F39/'- 3 -'!D39</f>
        <v>0</v>
      </c>
      <c r="H39" s="7">
        <v>25099</v>
      </c>
      <c r="I39" s="278">
        <f>H39/'- 3 -'!D39</f>
        <v>0.001709589427669027</v>
      </c>
    </row>
    <row r="40" spans="1:9" ht="13.5" customHeight="1">
      <c r="A40" s="388" t="s">
        <v>355</v>
      </c>
      <c r="B40" s="8">
        <v>410161</v>
      </c>
      <c r="C40" s="279">
        <f>B40/'- 3 -'!D40</f>
        <v>0.006607915711452537</v>
      </c>
      <c r="D40" s="8">
        <v>0</v>
      </c>
      <c r="E40" s="279">
        <f>D40/'- 3 -'!D40</f>
        <v>0</v>
      </c>
      <c r="F40" s="8">
        <v>34711</v>
      </c>
      <c r="G40" s="279">
        <f>F40/'- 3 -'!D40</f>
        <v>0.0005592129974820351</v>
      </c>
      <c r="H40" s="8">
        <v>44624</v>
      </c>
      <c r="I40" s="279">
        <f>H40/'- 3 -'!D40</f>
        <v>0.0007189167929370614</v>
      </c>
    </row>
    <row r="41" spans="1:9" ht="13.5" customHeight="1">
      <c r="A41" s="387" t="s">
        <v>356</v>
      </c>
      <c r="B41" s="7">
        <v>0</v>
      </c>
      <c r="C41" s="278">
        <f>B41/'- 3 -'!D41</f>
        <v>0</v>
      </c>
      <c r="D41" s="7">
        <v>0</v>
      </c>
      <c r="E41" s="278">
        <f>D41/'- 3 -'!D41</f>
        <v>0</v>
      </c>
      <c r="F41" s="7">
        <v>0</v>
      </c>
      <c r="G41" s="278">
        <f>F41/'- 3 -'!D41</f>
        <v>0</v>
      </c>
      <c r="H41" s="7">
        <v>85229</v>
      </c>
      <c r="I41" s="278">
        <f>H41/'- 3 -'!D41</f>
        <v>0.0022692366523693937</v>
      </c>
    </row>
    <row r="42" spans="1:9" ht="13.5" customHeight="1">
      <c r="A42" s="388" t="s">
        <v>357</v>
      </c>
      <c r="B42" s="8">
        <v>9728</v>
      </c>
      <c r="C42" s="279">
        <f>B42/'- 3 -'!D42</f>
        <v>0.0006690486853963618</v>
      </c>
      <c r="D42" s="8">
        <v>0</v>
      </c>
      <c r="E42" s="279">
        <f>D42/'- 3 -'!D42</f>
        <v>0</v>
      </c>
      <c r="F42" s="8">
        <v>0</v>
      </c>
      <c r="G42" s="279">
        <f>F42/'- 3 -'!D42</f>
        <v>0</v>
      </c>
      <c r="H42" s="8">
        <v>67996</v>
      </c>
      <c r="I42" s="279">
        <f>H42/'- 3 -'!D42</f>
        <v>0.004676463241386823</v>
      </c>
    </row>
    <row r="43" spans="1:9" ht="13.5" customHeight="1">
      <c r="A43" s="387" t="s">
        <v>358</v>
      </c>
      <c r="B43" s="7">
        <v>0</v>
      </c>
      <c r="C43" s="278">
        <f>B43/'- 3 -'!D43</f>
        <v>0</v>
      </c>
      <c r="D43" s="7">
        <v>0</v>
      </c>
      <c r="E43" s="278">
        <f>D43/'- 3 -'!D43</f>
        <v>0</v>
      </c>
      <c r="F43" s="7">
        <v>0</v>
      </c>
      <c r="G43" s="278">
        <f>F43/'- 3 -'!D43</f>
        <v>0</v>
      </c>
      <c r="H43" s="7">
        <v>8362</v>
      </c>
      <c r="I43" s="278">
        <f>H43/'- 3 -'!D43</f>
        <v>0.0009174341116748373</v>
      </c>
    </row>
    <row r="44" spans="1:9" ht="13.5" customHeight="1">
      <c r="A44" s="388" t="s">
        <v>359</v>
      </c>
      <c r="B44" s="8">
        <v>0</v>
      </c>
      <c r="C44" s="279">
        <f>B44/'- 3 -'!D44</f>
        <v>0</v>
      </c>
      <c r="D44" s="8">
        <v>0</v>
      </c>
      <c r="E44" s="279">
        <f>D44/'- 3 -'!D44</f>
        <v>0</v>
      </c>
      <c r="F44" s="8">
        <v>0</v>
      </c>
      <c r="G44" s="279">
        <f>F44/'- 3 -'!D44</f>
        <v>0</v>
      </c>
      <c r="H44" s="8">
        <v>7074</v>
      </c>
      <c r="I44" s="279">
        <f>H44/'- 3 -'!D44</f>
        <v>0.0010807777937020453</v>
      </c>
    </row>
    <row r="45" spans="1:9" ht="13.5" customHeight="1">
      <c r="A45" s="387" t="s">
        <v>360</v>
      </c>
      <c r="B45" s="7">
        <v>0</v>
      </c>
      <c r="C45" s="278">
        <f>B45/'- 3 -'!D45</f>
        <v>0</v>
      </c>
      <c r="D45" s="7">
        <v>0</v>
      </c>
      <c r="E45" s="278">
        <f>D45/'- 3 -'!D45</f>
        <v>0</v>
      </c>
      <c r="F45" s="7">
        <v>0</v>
      </c>
      <c r="G45" s="278">
        <f>F45/'- 3 -'!D45</f>
        <v>0</v>
      </c>
      <c r="H45" s="7">
        <v>8595</v>
      </c>
      <c r="I45" s="278">
        <f>H45/'- 3 -'!D45</f>
        <v>0.0008691651160909311</v>
      </c>
    </row>
    <row r="46" spans="1:9" ht="13.5" customHeight="1">
      <c r="A46" s="388" t="s">
        <v>361</v>
      </c>
      <c r="B46" s="8">
        <v>0</v>
      </c>
      <c r="C46" s="279">
        <f>B46/'- 3 -'!D46</f>
        <v>0</v>
      </c>
      <c r="D46" s="8">
        <v>1676113</v>
      </c>
      <c r="E46" s="279">
        <f>D46/'- 3 -'!D46</f>
        <v>0.006689240292976315</v>
      </c>
      <c r="F46" s="8">
        <v>198576</v>
      </c>
      <c r="G46" s="279">
        <f>F46/'- 3 -'!D46</f>
        <v>0.0007925018065118907</v>
      </c>
      <c r="H46" s="8">
        <v>2927150</v>
      </c>
      <c r="I46" s="279">
        <f>H46/'- 3 -'!D46</f>
        <v>0.011682034399581424</v>
      </c>
    </row>
    <row r="47" spans="1:9" ht="13.5" customHeight="1">
      <c r="A47" s="387" t="s">
        <v>365</v>
      </c>
      <c r="B47" s="7">
        <v>302018</v>
      </c>
      <c r="C47" s="278">
        <f>B47/'- 3 -'!D47</f>
        <v>0.05429789899430823</v>
      </c>
      <c r="D47" s="7">
        <v>0</v>
      </c>
      <c r="E47" s="278">
        <f>D47/'- 3 -'!D47</f>
        <v>0</v>
      </c>
      <c r="F47" s="7">
        <v>0</v>
      </c>
      <c r="G47" s="278">
        <f>F47/'- 3 -'!D47</f>
        <v>0</v>
      </c>
      <c r="H47" s="7">
        <v>0</v>
      </c>
      <c r="I47" s="278">
        <f>H47/'- 3 -'!D47</f>
        <v>0</v>
      </c>
    </row>
    <row r="48" spans="1:9" ht="4.5" customHeight="1">
      <c r="A48" s="389"/>
      <c r="B48" s="9"/>
      <c r="C48" s="162"/>
      <c r="D48" s="9"/>
      <c r="E48" s="162"/>
      <c r="F48" s="9"/>
      <c r="G48" s="162"/>
      <c r="H48" s="9"/>
      <c r="I48" s="162"/>
    </row>
    <row r="49" spans="1:9" ht="13.5" customHeight="1">
      <c r="A49" s="383" t="s">
        <v>362</v>
      </c>
      <c r="B49" s="11">
        <f>SUM(B11:B47)</f>
        <v>1914388</v>
      </c>
      <c r="C49" s="81">
        <f>B49/'- 3 -'!D49</f>
        <v>0.0014206985145710817</v>
      </c>
      <c r="D49" s="11">
        <f>SUM(D11:D47)</f>
        <v>1699095</v>
      </c>
      <c r="E49" s="81">
        <f>D49/'- 3 -'!D49</f>
        <v>0.0012609260727789518</v>
      </c>
      <c r="F49" s="11">
        <f>SUM(F11:F47)</f>
        <v>877382</v>
      </c>
      <c r="G49" s="81">
        <f>F49/'- 3 -'!D49</f>
        <v>0.0006511194721819217</v>
      </c>
      <c r="H49" s="11">
        <f>SUM(H11:H47)</f>
        <v>4911952.52</v>
      </c>
      <c r="I49" s="81">
        <f>H49/'- 3 -'!D49</f>
        <v>0.0036452399664058076</v>
      </c>
    </row>
    <row r="50" spans="1:9" ht="4.5" customHeight="1">
      <c r="A50" s="389" t="s">
        <v>15</v>
      </c>
      <c r="B50" s="9"/>
      <c r="C50" s="162"/>
      <c r="D50" s="9"/>
      <c r="E50" s="162"/>
      <c r="F50" s="9"/>
      <c r="G50" s="162"/>
      <c r="H50" s="9"/>
      <c r="I50" s="162"/>
    </row>
    <row r="51" spans="1:9" ht="13.5" customHeight="1">
      <c r="A51" s="388" t="s">
        <v>363</v>
      </c>
      <c r="B51" s="8">
        <v>0</v>
      </c>
      <c r="C51" s="279">
        <f>B51/'- 3 -'!D51</f>
        <v>0</v>
      </c>
      <c r="D51" s="8">
        <v>0</v>
      </c>
      <c r="E51" s="279">
        <f>D51/'- 3 -'!D51</f>
        <v>0</v>
      </c>
      <c r="F51" s="8">
        <v>491</v>
      </c>
      <c r="G51" s="279">
        <f>F51/'- 3 -'!D51</f>
        <v>0.0003886387669940414</v>
      </c>
      <c r="H51" s="8">
        <v>0</v>
      </c>
      <c r="I51" s="279">
        <f>H51/'- 3 -'!D51</f>
        <v>0</v>
      </c>
    </row>
    <row r="52" spans="1:9" ht="13.5" customHeight="1">
      <c r="A52" s="387" t="s">
        <v>364</v>
      </c>
      <c r="B52" s="7">
        <v>908</v>
      </c>
      <c r="C52" s="278">
        <f>B52/'- 3 -'!D52</f>
        <v>0.0003807831972285022</v>
      </c>
      <c r="D52" s="7">
        <v>0</v>
      </c>
      <c r="E52" s="278">
        <f>D52/'- 3 -'!D52</f>
        <v>0</v>
      </c>
      <c r="F52" s="7">
        <v>0</v>
      </c>
      <c r="G52" s="278">
        <f>F52/'- 3 -'!D52</f>
        <v>0</v>
      </c>
      <c r="H52" s="7">
        <v>0</v>
      </c>
      <c r="I52" s="278">
        <f>H52/'- 3 -'!D52</f>
        <v>0</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8"/>
  <sheetViews>
    <sheetView showGridLines="0" showZeros="0" workbookViewId="0" topLeftCell="A1">
      <selection activeCell="A1" sqref="A1"/>
    </sheetView>
  </sheetViews>
  <sheetFormatPr defaultColWidth="15.83203125" defaultRowHeight="12"/>
  <cols>
    <col min="1" max="1" width="32.83203125" style="67" customWidth="1"/>
    <col min="2" max="2" width="16.83203125" style="67" customWidth="1"/>
    <col min="3" max="3" width="7.83203125" style="67" customWidth="1"/>
    <col min="4" max="4" width="9.83203125" style="67" customWidth="1"/>
    <col min="5" max="5" width="16.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10" ht="6.75" customHeight="1">
      <c r="A1" s="65"/>
      <c r="B1" s="116"/>
      <c r="C1" s="116"/>
      <c r="D1" s="116"/>
      <c r="E1" s="116"/>
      <c r="F1" s="116"/>
      <c r="G1" s="116"/>
      <c r="H1" s="116"/>
      <c r="I1" s="116"/>
      <c r="J1" s="116"/>
    </row>
    <row r="2" spans="1:10" ht="15.75" customHeight="1">
      <c r="A2" s="333"/>
      <c r="B2" s="360" t="s">
        <v>12</v>
      </c>
      <c r="C2" s="164"/>
      <c r="D2" s="164"/>
      <c r="E2" s="164"/>
      <c r="F2" s="164"/>
      <c r="G2" s="178"/>
      <c r="H2" s="178"/>
      <c r="I2" s="193"/>
      <c r="J2" s="336" t="s">
        <v>292</v>
      </c>
    </row>
    <row r="3" spans="1:10" ht="15.75" customHeight="1">
      <c r="A3" s="334"/>
      <c r="B3" s="456" t="str">
        <f>OPYEAR</f>
        <v>OPERATING FUND 2002/2003 ACTUAL</v>
      </c>
      <c r="C3" s="167"/>
      <c r="D3" s="167"/>
      <c r="E3" s="167"/>
      <c r="F3" s="167"/>
      <c r="G3" s="179"/>
      <c r="H3" s="179"/>
      <c r="I3" s="179"/>
      <c r="J3" s="182"/>
    </row>
    <row r="4" spans="2:10" ht="15.75" customHeight="1">
      <c r="B4" s="116"/>
      <c r="C4" s="116"/>
      <c r="D4" s="116"/>
      <c r="E4" s="116"/>
      <c r="F4" s="116"/>
      <c r="G4" s="116"/>
      <c r="H4" s="116"/>
      <c r="I4" s="116"/>
      <c r="J4" s="116"/>
    </row>
    <row r="5" spans="2:10" ht="15.75" customHeight="1">
      <c r="B5" s="270" t="s">
        <v>237</v>
      </c>
      <c r="C5" s="183"/>
      <c r="D5" s="196"/>
      <c r="E5" s="196"/>
      <c r="F5" s="196"/>
      <c r="G5" s="196"/>
      <c r="H5" s="196"/>
      <c r="I5" s="196"/>
      <c r="J5" s="197"/>
    </row>
    <row r="6" spans="2:10" ht="15.75" customHeight="1">
      <c r="B6" s="169"/>
      <c r="C6" s="51"/>
      <c r="D6" s="52"/>
      <c r="E6" s="53" t="s">
        <v>32</v>
      </c>
      <c r="F6" s="51"/>
      <c r="G6" s="52"/>
      <c r="H6" s="53" t="s">
        <v>30</v>
      </c>
      <c r="I6" s="51"/>
      <c r="J6" s="52"/>
    </row>
    <row r="7" spans="2:10" ht="15.75" customHeight="1">
      <c r="B7" s="54" t="s">
        <v>60</v>
      </c>
      <c r="C7" s="55"/>
      <c r="D7" s="56"/>
      <c r="E7" s="54" t="s">
        <v>61</v>
      </c>
      <c r="F7" s="55"/>
      <c r="G7" s="56"/>
      <c r="H7" s="54" t="s">
        <v>62</v>
      </c>
      <c r="I7" s="55"/>
      <c r="J7" s="56"/>
    </row>
    <row r="8" spans="1:10" ht="15.75" customHeight="1">
      <c r="A8" s="313"/>
      <c r="B8" s="199"/>
      <c r="C8" s="190"/>
      <c r="D8" s="191" t="s">
        <v>87</v>
      </c>
      <c r="E8" s="58"/>
      <c r="F8" s="59"/>
      <c r="G8" s="191" t="s">
        <v>87</v>
      </c>
      <c r="H8" s="58"/>
      <c r="I8" s="59"/>
      <c r="J8" s="191" t="s">
        <v>87</v>
      </c>
    </row>
    <row r="9" spans="1:10" ht="15.75" customHeight="1">
      <c r="A9" s="314" t="s">
        <v>112</v>
      </c>
      <c r="B9" s="61" t="s">
        <v>113</v>
      </c>
      <c r="C9" s="61" t="s">
        <v>114</v>
      </c>
      <c r="D9" s="61" t="s">
        <v>115</v>
      </c>
      <c r="E9" s="61" t="s">
        <v>113</v>
      </c>
      <c r="F9" s="61" t="s">
        <v>114</v>
      </c>
      <c r="G9" s="61" t="s">
        <v>115</v>
      </c>
      <c r="H9" s="61" t="s">
        <v>113</v>
      </c>
      <c r="I9" s="61" t="s">
        <v>114</v>
      </c>
      <c r="J9" s="61" t="s">
        <v>115</v>
      </c>
    </row>
    <row r="10" ht="4.5" customHeight="1">
      <c r="A10" s="62"/>
    </row>
    <row r="11" spans="1:10" ht="13.5" customHeight="1">
      <c r="A11" s="387" t="s">
        <v>327</v>
      </c>
      <c r="B11" s="362">
        <v>96188</v>
      </c>
      <c r="C11" s="278">
        <f>B11/'- 3 -'!D11</f>
        <v>0.00860997751061844</v>
      </c>
      <c r="D11" s="362">
        <f>B11/'- 7 -'!F11</f>
        <v>59.28382126348228</v>
      </c>
      <c r="E11" s="362">
        <v>103342</v>
      </c>
      <c r="F11" s="278">
        <f>E11/'- 3 -'!D11</f>
        <v>0.009250346154430185</v>
      </c>
      <c r="G11" s="362">
        <f>E11/'- 7 -'!F11</f>
        <v>63.69306625577812</v>
      </c>
      <c r="H11" s="362">
        <v>227098</v>
      </c>
      <c r="I11" s="278">
        <f>H11/'- 3 -'!D11</f>
        <v>0.02032798969420745</v>
      </c>
      <c r="J11" s="362">
        <f>H11/'- 7 -'!F11</f>
        <v>139.96795069337443</v>
      </c>
    </row>
    <row r="12" spans="1:10" ht="13.5" customHeight="1">
      <c r="A12" s="388" t="s">
        <v>328</v>
      </c>
      <c r="B12" s="361">
        <v>144403</v>
      </c>
      <c r="C12" s="279">
        <f>B12/'- 3 -'!D12</f>
        <v>0.00786656619752254</v>
      </c>
      <c r="D12" s="361">
        <f>B12/'- 7 -'!F12</f>
        <v>61.4507000297885</v>
      </c>
      <c r="E12" s="361">
        <v>104269</v>
      </c>
      <c r="F12" s="279">
        <f>E12/'- 3 -'!D12</f>
        <v>0.005680207411546005</v>
      </c>
      <c r="G12" s="361">
        <f>E12/'- 7 -'!F12</f>
        <v>44.37167539044214</v>
      </c>
      <c r="H12" s="361">
        <v>462230</v>
      </c>
      <c r="I12" s="279">
        <f>H12/'- 3 -'!D12</f>
        <v>0.025180660328946378</v>
      </c>
      <c r="J12" s="361">
        <f>H12/'- 7 -'!F12</f>
        <v>196.7019873186093</v>
      </c>
    </row>
    <row r="13" spans="1:10" ht="13.5" customHeight="1">
      <c r="A13" s="387" t="s">
        <v>329</v>
      </c>
      <c r="B13" s="362">
        <v>221084</v>
      </c>
      <c r="C13" s="278">
        <f>B13/'- 3 -'!D13</f>
        <v>0.00475121740758858</v>
      </c>
      <c r="D13" s="362">
        <f>B13/'- 7 -'!F13</f>
        <v>30.31454819690114</v>
      </c>
      <c r="E13" s="362">
        <v>545748</v>
      </c>
      <c r="F13" s="278">
        <f>E13/'- 3 -'!D13</f>
        <v>0.011728426289359035</v>
      </c>
      <c r="G13" s="362">
        <f>E13/'- 7 -'!F13</f>
        <v>74.83175647881531</v>
      </c>
      <c r="H13" s="362">
        <v>856301</v>
      </c>
      <c r="I13" s="278">
        <f>H13/'- 3 -'!D13</f>
        <v>0.018402381978503687</v>
      </c>
      <c r="J13" s="362">
        <f>H13/'- 7 -'!F13</f>
        <v>117.41409570821335</v>
      </c>
    </row>
    <row r="14" spans="1:10" ht="13.5" customHeight="1">
      <c r="A14" s="388" t="s">
        <v>366</v>
      </c>
      <c r="B14" s="361">
        <v>545508</v>
      </c>
      <c r="C14" s="279">
        <f>B14/'- 3 -'!D14</f>
        <v>0.01381689546231946</v>
      </c>
      <c r="D14" s="361">
        <f>B14/'- 7 -'!F14</f>
        <v>127.47896803140775</v>
      </c>
      <c r="E14" s="361">
        <v>426868</v>
      </c>
      <c r="F14" s="279">
        <f>E14/'- 3 -'!D14</f>
        <v>0.010811923073922624</v>
      </c>
      <c r="G14" s="361">
        <f>E14/'- 7 -'!F14</f>
        <v>99.75415965601047</v>
      </c>
      <c r="H14" s="361">
        <v>527380</v>
      </c>
      <c r="I14" s="279">
        <f>H14/'- 3 -'!D14</f>
        <v>0.013357740544443044</v>
      </c>
      <c r="J14" s="361">
        <f>H14/'- 7 -'!F14</f>
        <v>123.2426621798467</v>
      </c>
    </row>
    <row r="15" spans="1:10" ht="13.5" customHeight="1">
      <c r="A15" s="387" t="s">
        <v>330</v>
      </c>
      <c r="B15" s="362">
        <v>110232</v>
      </c>
      <c r="C15" s="278">
        <f>B15/'- 3 -'!D15</f>
        <v>0.00877953951222869</v>
      </c>
      <c r="D15" s="362">
        <f>B15/'- 7 -'!F15</f>
        <v>65.38078291814946</v>
      </c>
      <c r="E15" s="362">
        <v>99466</v>
      </c>
      <c r="F15" s="278">
        <f>E15/'- 3 -'!D15</f>
        <v>0.007922070516032902</v>
      </c>
      <c r="G15" s="362">
        <f>E15/'- 7 -'!F15</f>
        <v>58.995255041518384</v>
      </c>
      <c r="H15" s="362">
        <v>258229</v>
      </c>
      <c r="I15" s="278">
        <f>H15/'- 3 -'!D15</f>
        <v>0.020566910776392538</v>
      </c>
      <c r="J15" s="362">
        <f>H15/'- 7 -'!F15</f>
        <v>153.16073546856464</v>
      </c>
    </row>
    <row r="16" spans="1:10" ht="13.5" customHeight="1">
      <c r="A16" s="388" t="s">
        <v>331</v>
      </c>
      <c r="B16" s="361">
        <v>65774</v>
      </c>
      <c r="C16" s="279">
        <f>B16/'- 3 -'!D16</f>
        <v>0.006099307037710472</v>
      </c>
      <c r="D16" s="361">
        <f>B16/'- 7 -'!F16</f>
        <v>46.67735891904167</v>
      </c>
      <c r="E16" s="361">
        <v>146463</v>
      </c>
      <c r="F16" s="279">
        <f>E16/'- 3 -'!D16</f>
        <v>0.013581701077389072</v>
      </c>
      <c r="G16" s="361">
        <f>E16/'- 7 -'!F16</f>
        <v>103.93933802656979</v>
      </c>
      <c r="H16" s="361">
        <v>265162</v>
      </c>
      <c r="I16" s="279">
        <f>H16/'- 3 -'!D16</f>
        <v>0.02458881096988756</v>
      </c>
      <c r="J16" s="361">
        <f>H16/'- 7 -'!F16</f>
        <v>188.17559895537642</v>
      </c>
    </row>
    <row r="17" spans="1:10" ht="13.5" customHeight="1">
      <c r="A17" s="387" t="s">
        <v>332</v>
      </c>
      <c r="B17" s="362">
        <v>137104</v>
      </c>
      <c r="C17" s="278">
        <f>B17/'- 3 -'!D17</f>
        <v>0.01113880792072065</v>
      </c>
      <c r="D17" s="362">
        <f>B17/'- 7 -'!F17</f>
        <v>87.2895815824993</v>
      </c>
      <c r="E17" s="362">
        <v>101376</v>
      </c>
      <c r="F17" s="278">
        <f>E17/'- 3 -'!D17</f>
        <v>0.008236140388106668</v>
      </c>
      <c r="G17" s="362">
        <f>E17/'- 7 -'!F17</f>
        <v>64.54274581709832</v>
      </c>
      <c r="H17" s="362">
        <v>191663</v>
      </c>
      <c r="I17" s="278">
        <f>H17/'- 3 -'!D17</f>
        <v>0.015571371677770757</v>
      </c>
      <c r="J17" s="362">
        <f>H17/'- 7 -'!F17</f>
        <v>122.02549214353019</v>
      </c>
    </row>
    <row r="18" spans="1:10" ht="13.5" customHeight="1">
      <c r="A18" s="388" t="s">
        <v>333</v>
      </c>
      <c r="B18" s="361">
        <v>687784.41</v>
      </c>
      <c r="C18" s="279">
        <f>B18/'- 3 -'!D18</f>
        <v>0.009508964821469266</v>
      </c>
      <c r="D18" s="361">
        <f>B18/'- 7 -'!F18</f>
        <v>116.0034424017541</v>
      </c>
      <c r="E18" s="361">
        <v>1447493.5</v>
      </c>
      <c r="F18" s="279">
        <f>E18/'- 3 -'!D18</f>
        <v>0.020012324459063303</v>
      </c>
      <c r="G18" s="361">
        <f>E18/'- 7 -'!F18</f>
        <v>244.13788159892056</v>
      </c>
      <c r="H18" s="361">
        <v>1653894.2</v>
      </c>
      <c r="I18" s="279">
        <f>H18/'- 3 -'!D18</f>
        <v>0.02286591777535646</v>
      </c>
      <c r="J18" s="361">
        <f>H18/'- 7 -'!F18</f>
        <v>278.9499409681228</v>
      </c>
    </row>
    <row r="19" spans="1:10" ht="13.5" customHeight="1">
      <c r="A19" s="387" t="s">
        <v>334</v>
      </c>
      <c r="B19" s="362">
        <v>124695</v>
      </c>
      <c r="C19" s="278">
        <f>B19/'- 3 -'!D19</f>
        <v>0.007052634103268278</v>
      </c>
      <c r="D19" s="362">
        <f>B19/'- 7 -'!F19</f>
        <v>42.597273938441575</v>
      </c>
      <c r="E19" s="362">
        <v>181966</v>
      </c>
      <c r="F19" s="278">
        <f>E19/'- 3 -'!D19</f>
        <v>0.010291829000644095</v>
      </c>
      <c r="G19" s="362">
        <f>E19/'- 7 -'!F19</f>
        <v>62.16171899019575</v>
      </c>
      <c r="H19" s="362">
        <v>313187</v>
      </c>
      <c r="I19" s="278">
        <f>H19/'- 3 -'!D19</f>
        <v>0.017713567640244454</v>
      </c>
      <c r="J19" s="362">
        <f>H19/'- 7 -'!F19</f>
        <v>106.9883510402077</v>
      </c>
    </row>
    <row r="20" spans="1:10" ht="13.5" customHeight="1">
      <c r="A20" s="388" t="s">
        <v>335</v>
      </c>
      <c r="B20" s="361">
        <v>171317</v>
      </c>
      <c r="C20" s="279">
        <f>B20/'- 3 -'!D20</f>
        <v>0.005123486807358667</v>
      </c>
      <c r="D20" s="361">
        <f>B20/'- 7 -'!F20</f>
        <v>27.988400588139193</v>
      </c>
      <c r="E20" s="361">
        <v>268388</v>
      </c>
      <c r="F20" s="279">
        <f>E20/'- 3 -'!D20</f>
        <v>0.008026537805666558</v>
      </c>
      <c r="G20" s="361">
        <f>E20/'- 7 -'!F20</f>
        <v>43.84708380983499</v>
      </c>
      <c r="H20" s="361">
        <v>524310</v>
      </c>
      <c r="I20" s="279">
        <f>H20/'- 3 -'!D20</f>
        <v>0.01568026155002844</v>
      </c>
      <c r="J20" s="361">
        <f>H20/'- 7 -'!F20</f>
        <v>85.65757229210914</v>
      </c>
    </row>
    <row r="21" spans="1:10" ht="13.5" customHeight="1">
      <c r="A21" s="387" t="s">
        <v>336</v>
      </c>
      <c r="B21" s="362">
        <v>134856</v>
      </c>
      <c r="C21" s="278">
        <f>B21/'- 3 -'!D21</f>
        <v>0.005796923524506806</v>
      </c>
      <c r="D21" s="362">
        <f>B21/'- 7 -'!F21</f>
        <v>40.749380552365984</v>
      </c>
      <c r="E21" s="362">
        <v>281695</v>
      </c>
      <c r="F21" s="278">
        <f>E21/'- 3 -'!D21</f>
        <v>0.012108948598771613</v>
      </c>
      <c r="G21" s="362">
        <f>E21/'- 7 -'!F21</f>
        <v>85.11965915271651</v>
      </c>
      <c r="H21" s="362">
        <v>312742</v>
      </c>
      <c r="I21" s="278">
        <f>H21/'- 3 -'!D21</f>
        <v>0.013443535748511802</v>
      </c>
      <c r="J21" s="362">
        <f>H21/'- 7 -'!F21</f>
        <v>94.501118027437</v>
      </c>
    </row>
    <row r="22" spans="1:10" ht="13.5" customHeight="1">
      <c r="A22" s="388" t="s">
        <v>337</v>
      </c>
      <c r="B22" s="361">
        <v>69915</v>
      </c>
      <c r="C22" s="279">
        <f>B22/'- 3 -'!D22</f>
        <v>0.005460989445523867</v>
      </c>
      <c r="D22" s="361">
        <f>B22/'- 7 -'!F22</f>
        <v>41.3698224852071</v>
      </c>
      <c r="E22" s="361">
        <v>52207</v>
      </c>
      <c r="F22" s="279">
        <f>E22/'- 3 -'!D22</f>
        <v>0.004077835600121069</v>
      </c>
      <c r="G22" s="361">
        <f>E22/'- 7 -'!F22</f>
        <v>30.891715976331362</v>
      </c>
      <c r="H22" s="361">
        <v>335339</v>
      </c>
      <c r="I22" s="279">
        <f>H22/'- 3 -'!D22</f>
        <v>0.026192987766180762</v>
      </c>
      <c r="J22" s="361">
        <f>H22/'- 7 -'!F22</f>
        <v>198.42544378698224</v>
      </c>
    </row>
    <row r="23" spans="1:10" ht="13.5" customHeight="1">
      <c r="A23" s="387" t="s">
        <v>338</v>
      </c>
      <c r="B23" s="362">
        <v>69478</v>
      </c>
      <c r="C23" s="278">
        <f>B23/'- 3 -'!D23</f>
        <v>0.006490352795579483</v>
      </c>
      <c r="D23" s="362">
        <f>B23/'- 7 -'!F23</f>
        <v>50.67318211654876</v>
      </c>
      <c r="E23" s="362">
        <v>97693</v>
      </c>
      <c r="F23" s="278">
        <f>E23/'- 3 -'!D23</f>
        <v>0.009126083589892432</v>
      </c>
      <c r="G23" s="362">
        <f>E23/'- 7 -'!F23</f>
        <v>71.25154985048502</v>
      </c>
      <c r="H23" s="362">
        <v>181880</v>
      </c>
      <c r="I23" s="278">
        <f>H23/'- 3 -'!D23</f>
        <v>0.016990491471544897</v>
      </c>
      <c r="J23" s="362">
        <f>H23/'- 7 -'!F23</f>
        <v>132.6526146889359</v>
      </c>
    </row>
    <row r="24" spans="1:10" ht="13.5" customHeight="1">
      <c r="A24" s="388" t="s">
        <v>339</v>
      </c>
      <c r="B24" s="361">
        <v>168370</v>
      </c>
      <c r="C24" s="279">
        <f>B24/'- 3 -'!D24</f>
        <v>0.0050496796145037695</v>
      </c>
      <c r="D24" s="361">
        <f>B24/'- 7 -'!F24</f>
        <v>36.50931326842596</v>
      </c>
      <c r="E24" s="361">
        <v>228162</v>
      </c>
      <c r="F24" s="279">
        <f>E24/'- 3 -'!D24</f>
        <v>0.006842935203447224</v>
      </c>
      <c r="G24" s="361">
        <f>E24/'- 7 -'!F24</f>
        <v>49.47459722011406</v>
      </c>
      <c r="H24" s="361">
        <v>496573</v>
      </c>
      <c r="I24" s="279">
        <f>H24/'- 3 -'!D24</f>
        <v>0.014893000862463505</v>
      </c>
      <c r="J24" s="361">
        <f>H24/'- 7 -'!F24</f>
        <v>107.67677862827158</v>
      </c>
    </row>
    <row r="25" spans="1:10" ht="13.5" customHeight="1">
      <c r="A25" s="387" t="s">
        <v>340</v>
      </c>
      <c r="B25" s="362">
        <v>400701</v>
      </c>
      <c r="C25" s="278">
        <f>B25/'- 3 -'!D25</f>
        <v>0.0038723765668553707</v>
      </c>
      <c r="D25" s="362">
        <f>B25/'- 7 -'!F25</f>
        <v>26.91219138704564</v>
      </c>
      <c r="E25" s="362">
        <v>873907</v>
      </c>
      <c r="F25" s="278">
        <f>E25/'- 3 -'!D25</f>
        <v>0.008445441834212733</v>
      </c>
      <c r="G25" s="362">
        <f>E25/'- 7 -'!F25</f>
        <v>58.69401982645139</v>
      </c>
      <c r="H25" s="362">
        <v>1961406</v>
      </c>
      <c r="I25" s="278">
        <f>H25/'- 3 -'!D25</f>
        <v>0.018955037877343768</v>
      </c>
      <c r="J25" s="362">
        <f>H25/'- 7 -'!F25</f>
        <v>131.73347124089943</v>
      </c>
    </row>
    <row r="26" spans="1:10" ht="13.5" customHeight="1">
      <c r="A26" s="388" t="s">
        <v>341</v>
      </c>
      <c r="B26" s="361">
        <v>185244.12</v>
      </c>
      <c r="C26" s="279">
        <f>B26/'- 3 -'!D26</f>
        <v>0.00717545603780134</v>
      </c>
      <c r="D26" s="361">
        <f>B26/'- 7 -'!F26</f>
        <v>55.29675223880597</v>
      </c>
      <c r="E26" s="361">
        <v>307079.57</v>
      </c>
      <c r="F26" s="279">
        <f>E26/'- 3 -'!D26</f>
        <v>0.011894768668727188</v>
      </c>
      <c r="G26" s="361">
        <f>E26/'- 7 -'!F26</f>
        <v>91.6655432835821</v>
      </c>
      <c r="H26" s="361">
        <v>563927.08</v>
      </c>
      <c r="I26" s="279">
        <f>H26/'- 3 -'!D26</f>
        <v>0.021843791700733493</v>
      </c>
      <c r="J26" s="361">
        <f>H26/'- 7 -'!F26</f>
        <v>168.33644179104476</v>
      </c>
    </row>
    <row r="27" spans="1:10" ht="13.5" customHeight="1">
      <c r="A27" s="387" t="s">
        <v>342</v>
      </c>
      <c r="B27" s="362">
        <v>135891</v>
      </c>
      <c r="C27" s="278">
        <f>B27/'- 3 -'!D27</f>
        <v>0.005289576388196076</v>
      </c>
      <c r="D27" s="362">
        <f>B27/'- 7 -'!F27</f>
        <v>40.9519934906428</v>
      </c>
      <c r="E27" s="362">
        <v>144511</v>
      </c>
      <c r="F27" s="278">
        <f>E27/'- 3 -'!D27</f>
        <v>0.005625111106950446</v>
      </c>
      <c r="G27" s="362">
        <f>E27/'- 7 -'!F27</f>
        <v>43.54970918843987</v>
      </c>
      <c r="H27" s="362">
        <v>583843</v>
      </c>
      <c r="I27" s="278">
        <f>H27/'- 3 -'!D27</f>
        <v>0.02272617132270394</v>
      </c>
      <c r="J27" s="362">
        <f>H27/'- 7 -'!F27</f>
        <v>175.94641834674383</v>
      </c>
    </row>
    <row r="28" spans="1:10" ht="13.5" customHeight="1">
      <c r="A28" s="388" t="s">
        <v>343</v>
      </c>
      <c r="B28" s="361">
        <v>189814.02</v>
      </c>
      <c r="C28" s="279">
        <f>B28/'- 3 -'!D28</f>
        <v>0.0117948818818085</v>
      </c>
      <c r="D28" s="361">
        <f>B28/'- 7 -'!F28</f>
        <v>88.64843078647488</v>
      </c>
      <c r="E28" s="361">
        <v>239824</v>
      </c>
      <c r="F28" s="279">
        <f>E28/'- 3 -'!D28</f>
        <v>0.014902459536038708</v>
      </c>
      <c r="G28" s="361">
        <f>E28/'- 7 -'!F28</f>
        <v>112.00448346721465</v>
      </c>
      <c r="H28" s="361">
        <v>290374</v>
      </c>
      <c r="I28" s="279">
        <f>H28/'- 3 -'!D28</f>
        <v>0.018043593574111446</v>
      </c>
      <c r="J28" s="361">
        <f>H28/'- 7 -'!F28</f>
        <v>135.61274051933498</v>
      </c>
    </row>
    <row r="29" spans="1:10" ht="13.5" customHeight="1">
      <c r="A29" s="387" t="s">
        <v>344</v>
      </c>
      <c r="B29" s="362">
        <v>418630</v>
      </c>
      <c r="C29" s="278">
        <f>B29/'- 3 -'!D29</f>
        <v>0.004289427751729688</v>
      </c>
      <c r="D29" s="362">
        <f>B29/'- 7 -'!F29</f>
        <v>32.010490980967894</v>
      </c>
      <c r="E29" s="362">
        <v>1495663</v>
      </c>
      <c r="F29" s="278">
        <f>E29/'- 3 -'!D29</f>
        <v>0.015325080332119725</v>
      </c>
      <c r="G29" s="362">
        <f>E29/'- 7 -'!F29</f>
        <v>114.3656856223094</v>
      </c>
      <c r="H29" s="362">
        <v>1587129</v>
      </c>
      <c r="I29" s="278">
        <f>H29/'- 3 -'!D29</f>
        <v>0.01626227259913286</v>
      </c>
      <c r="J29" s="362">
        <f>H29/'- 7 -'!F29</f>
        <v>121.35962195765376</v>
      </c>
    </row>
    <row r="30" spans="1:10" ht="13.5" customHeight="1">
      <c r="A30" s="388" t="s">
        <v>345</v>
      </c>
      <c r="B30" s="361">
        <v>91299</v>
      </c>
      <c r="C30" s="279">
        <f>B30/'- 3 -'!D30</f>
        <v>0.009475816579394097</v>
      </c>
      <c r="D30" s="361">
        <f>B30/'- 7 -'!F30</f>
        <v>71.18275378138158</v>
      </c>
      <c r="E30" s="361">
        <v>175901</v>
      </c>
      <c r="F30" s="279">
        <f>E30/'- 3 -'!D30</f>
        <v>0.018256559350398154</v>
      </c>
      <c r="G30" s="361">
        <f>E30/'- 7 -'!F30</f>
        <v>137.1440823327616</v>
      </c>
      <c r="H30" s="361">
        <v>174521</v>
      </c>
      <c r="I30" s="279">
        <f>H30/'- 3 -'!D30</f>
        <v>0.018113330762138</v>
      </c>
      <c r="J30" s="361">
        <f>H30/'- 7 -'!F30</f>
        <v>136.06814283486668</v>
      </c>
    </row>
    <row r="31" spans="1:10" ht="13.5" customHeight="1">
      <c r="A31" s="387" t="s">
        <v>346</v>
      </c>
      <c r="B31" s="362">
        <v>138477</v>
      </c>
      <c r="C31" s="278">
        <f>B31/'- 3 -'!D31</f>
        <v>0.005676417981320704</v>
      </c>
      <c r="D31" s="362">
        <f>B31/'- 7 -'!F31</f>
        <v>41.14848601907705</v>
      </c>
      <c r="E31" s="362">
        <v>210992</v>
      </c>
      <c r="F31" s="278">
        <f>E31/'- 3 -'!D31</f>
        <v>0.00864893652169543</v>
      </c>
      <c r="G31" s="362">
        <f>E31/'- 7 -'!F31</f>
        <v>62.69634207945799</v>
      </c>
      <c r="H31" s="362">
        <v>391470</v>
      </c>
      <c r="I31" s="278">
        <f>H31/'- 3 -'!D31</f>
        <v>0.016047050031034873</v>
      </c>
      <c r="J31" s="362">
        <f>H31/'- 7 -'!F31</f>
        <v>116.32543903961013</v>
      </c>
    </row>
    <row r="32" spans="1:10" ht="13.5" customHeight="1">
      <c r="A32" s="388" t="s">
        <v>347</v>
      </c>
      <c r="B32" s="361">
        <v>172388</v>
      </c>
      <c r="C32" s="279">
        <f>B32/'- 3 -'!D32</f>
        <v>0.00948336906164443</v>
      </c>
      <c r="D32" s="361">
        <f>B32/'- 7 -'!F32</f>
        <v>73.35659574468085</v>
      </c>
      <c r="E32" s="361">
        <v>112533</v>
      </c>
      <c r="F32" s="279">
        <f>E32/'- 3 -'!D32</f>
        <v>0.006190639549237955</v>
      </c>
      <c r="G32" s="361">
        <f>E32/'- 7 -'!F32</f>
        <v>47.886382978723404</v>
      </c>
      <c r="H32" s="361">
        <v>361120</v>
      </c>
      <c r="I32" s="279">
        <f>H32/'- 3 -'!D32</f>
        <v>0.01986585049737242</v>
      </c>
      <c r="J32" s="361">
        <f>H32/'- 7 -'!F32</f>
        <v>153.668085106383</v>
      </c>
    </row>
    <row r="33" spans="1:10" ht="13.5" customHeight="1">
      <c r="A33" s="387" t="s">
        <v>348</v>
      </c>
      <c r="B33" s="362">
        <v>189135</v>
      </c>
      <c r="C33" s="278">
        <f>B33/'- 3 -'!D33</f>
        <v>0.008725189537079877</v>
      </c>
      <c r="D33" s="362">
        <f>B33/'- 7 -'!F33</f>
        <v>75.86338293690586</v>
      </c>
      <c r="E33" s="362">
        <v>595720</v>
      </c>
      <c r="F33" s="278">
        <f>E33/'- 3 -'!D33</f>
        <v>0.027481798244794582</v>
      </c>
      <c r="G33" s="362">
        <f>E33/'- 7 -'!F33</f>
        <v>238.94749508643858</v>
      </c>
      <c r="H33" s="362">
        <v>319971</v>
      </c>
      <c r="I33" s="278">
        <f>H33/'- 3 -'!D33</f>
        <v>0.014760925378005049</v>
      </c>
      <c r="J33" s="362">
        <f>H33/'- 7 -'!F33</f>
        <v>128.34262564678514</v>
      </c>
    </row>
    <row r="34" spans="1:10" ht="13.5" customHeight="1">
      <c r="A34" s="388" t="s">
        <v>349</v>
      </c>
      <c r="B34" s="361">
        <v>166103</v>
      </c>
      <c r="C34" s="279">
        <f>B34/'- 3 -'!D34</f>
        <v>0.01010834832728497</v>
      </c>
      <c r="D34" s="361">
        <f>B34/'- 7 -'!F34</f>
        <v>75.09177215189874</v>
      </c>
      <c r="E34" s="361">
        <v>250892</v>
      </c>
      <c r="F34" s="279">
        <f>E34/'- 3 -'!D34</f>
        <v>0.015268259625227603</v>
      </c>
      <c r="G34" s="361">
        <f>E34/'- 7 -'!F34</f>
        <v>113.42314647377938</v>
      </c>
      <c r="H34" s="361">
        <v>327472.3</v>
      </c>
      <c r="I34" s="279">
        <f>H34/'- 3 -'!D34</f>
        <v>0.019928623058807857</v>
      </c>
      <c r="J34" s="361">
        <f>H34/'- 7 -'!F34</f>
        <v>148.04353526220615</v>
      </c>
    </row>
    <row r="35" spans="1:10" ht="13.5" customHeight="1">
      <c r="A35" s="387" t="s">
        <v>350</v>
      </c>
      <c r="B35" s="362">
        <v>365504</v>
      </c>
      <c r="C35" s="278">
        <f>B35/'- 3 -'!D35</f>
        <v>0.0029867740148078466</v>
      </c>
      <c r="D35" s="362">
        <f>B35/'- 7 -'!F35</f>
        <v>20.5135342945498</v>
      </c>
      <c r="E35" s="362">
        <v>1331870</v>
      </c>
      <c r="F35" s="278">
        <f>E35/'- 3 -'!D35</f>
        <v>0.01088358733995285</v>
      </c>
      <c r="G35" s="362">
        <f>E35/'- 7 -'!F35</f>
        <v>74.74982741880265</v>
      </c>
      <c r="H35" s="362">
        <v>1640582</v>
      </c>
      <c r="I35" s="278">
        <f>H35/'- 3 -'!D35</f>
        <v>0.013406276502477365</v>
      </c>
      <c r="J35" s="362">
        <f>H35/'- 7 -'!F35</f>
        <v>92.0759694012134</v>
      </c>
    </row>
    <row r="36" spans="1:10" ht="13.5" customHeight="1">
      <c r="A36" s="388" t="s">
        <v>351</v>
      </c>
      <c r="B36" s="361">
        <v>121626</v>
      </c>
      <c r="C36" s="279">
        <f>B36/'- 3 -'!D36</f>
        <v>0.007638991604872207</v>
      </c>
      <c r="D36" s="361">
        <f>B36/'- 7 -'!F36</f>
        <v>57.26271186440678</v>
      </c>
      <c r="E36" s="361">
        <v>145082</v>
      </c>
      <c r="F36" s="279">
        <f>E36/'- 3 -'!D36</f>
        <v>0.00911219788546914</v>
      </c>
      <c r="G36" s="361">
        <f>E36/'- 7 -'!F36</f>
        <v>68.3060263653484</v>
      </c>
      <c r="H36" s="361">
        <v>310573</v>
      </c>
      <c r="I36" s="279">
        <f>H36/'- 3 -'!D36</f>
        <v>0.01950622843553168</v>
      </c>
      <c r="J36" s="361">
        <f>H36/'- 7 -'!F36</f>
        <v>146.22080979284368</v>
      </c>
    </row>
    <row r="37" spans="1:10" ht="13.5" customHeight="1">
      <c r="A37" s="387" t="s">
        <v>352</v>
      </c>
      <c r="B37" s="362">
        <v>179913</v>
      </c>
      <c r="C37" s="278">
        <f>B37/'- 3 -'!D37</f>
        <v>0.007691834448625743</v>
      </c>
      <c r="D37" s="362">
        <f>B37/'- 7 -'!F37</f>
        <v>53.22712345788586</v>
      </c>
      <c r="E37" s="362">
        <v>232422</v>
      </c>
      <c r="F37" s="278">
        <f>E37/'- 3 -'!D37</f>
        <v>0.009936755799850441</v>
      </c>
      <c r="G37" s="362">
        <f>E37/'- 7 -'!F37</f>
        <v>68.76187095056359</v>
      </c>
      <c r="H37" s="362">
        <v>482244</v>
      </c>
      <c r="I37" s="278">
        <f>H37/'- 3 -'!D37</f>
        <v>0.02061741514978391</v>
      </c>
      <c r="J37" s="362">
        <f>H37/'- 7 -'!F37</f>
        <v>142.67151859412445</v>
      </c>
    </row>
    <row r="38" spans="1:10" ht="13.5" customHeight="1">
      <c r="A38" s="388" t="s">
        <v>353</v>
      </c>
      <c r="B38" s="361">
        <v>221009</v>
      </c>
      <c r="C38" s="279">
        <f>B38/'- 3 -'!D38</f>
        <v>0.0035912732991224407</v>
      </c>
      <c r="D38" s="361">
        <f>B38/'- 7 -'!F38</f>
        <v>25.929371736962516</v>
      </c>
      <c r="E38" s="361">
        <v>639272</v>
      </c>
      <c r="F38" s="279">
        <f>E38/'- 3 -'!D38</f>
        <v>0.010387814362657634</v>
      </c>
      <c r="G38" s="361">
        <f>E38/'- 7 -'!F38</f>
        <v>75.00111456561272</v>
      </c>
      <c r="H38" s="361">
        <v>947418</v>
      </c>
      <c r="I38" s="279">
        <f>H38/'- 3 -'!D38</f>
        <v>0.015395015436059095</v>
      </c>
      <c r="J38" s="361">
        <f>H38/'- 7 -'!F38</f>
        <v>111.15363407051095</v>
      </c>
    </row>
    <row r="39" spans="1:10" ht="13.5" customHeight="1">
      <c r="A39" s="387" t="s">
        <v>354</v>
      </c>
      <c r="B39" s="362">
        <v>205625</v>
      </c>
      <c r="C39" s="278">
        <f>B39/'- 3 -'!D39</f>
        <v>0.014005909640401756</v>
      </c>
      <c r="D39" s="362">
        <f>B39/'- 7 -'!F39</f>
        <v>113.6677722498618</v>
      </c>
      <c r="E39" s="362">
        <v>168856</v>
      </c>
      <c r="F39" s="278">
        <f>E39/'- 3 -'!D39</f>
        <v>0.011501431626697527</v>
      </c>
      <c r="G39" s="362">
        <f>E39/'- 7 -'!F39</f>
        <v>93.34217799889441</v>
      </c>
      <c r="H39" s="362">
        <v>452268</v>
      </c>
      <c r="I39" s="278">
        <f>H39/'- 3 -'!D39</f>
        <v>0.030805713027332385</v>
      </c>
      <c r="J39" s="362">
        <f>H39/'- 7 -'!F39</f>
        <v>250.0099502487562</v>
      </c>
    </row>
    <row r="40" spans="1:10" ht="13.5" customHeight="1">
      <c r="A40" s="388" t="s">
        <v>355</v>
      </c>
      <c r="B40" s="361">
        <v>346319</v>
      </c>
      <c r="C40" s="279">
        <f>B40/'- 3 -'!D40</f>
        <v>0.005579386536688108</v>
      </c>
      <c r="D40" s="361">
        <f>B40/'- 7 -'!F40</f>
        <v>37.9762812042525</v>
      </c>
      <c r="E40" s="361">
        <v>812834</v>
      </c>
      <c r="F40" s="279">
        <f>E40/'- 3 -'!D40</f>
        <v>0.013095195689992008</v>
      </c>
      <c r="G40" s="361">
        <f>E40/'- 7 -'!F40</f>
        <v>89.13288776064086</v>
      </c>
      <c r="H40" s="361">
        <v>984398</v>
      </c>
      <c r="I40" s="279">
        <f>H40/'- 3 -'!D40</f>
        <v>0.015859184589764642</v>
      </c>
      <c r="J40" s="361">
        <f>H40/'- 7 -'!F40</f>
        <v>107.94607071775951</v>
      </c>
    </row>
    <row r="41" spans="1:10" ht="13.5" customHeight="1">
      <c r="A41" s="387" t="s">
        <v>356</v>
      </c>
      <c r="B41" s="362">
        <v>316417</v>
      </c>
      <c r="C41" s="278">
        <f>B41/'- 3 -'!D41</f>
        <v>0.008424656558598207</v>
      </c>
      <c r="D41" s="362">
        <f>B41/'- 7 -'!F41</f>
        <v>64.36734610846658</v>
      </c>
      <c r="E41" s="362">
        <v>383738</v>
      </c>
      <c r="F41" s="278">
        <f>E41/'- 3 -'!D41</f>
        <v>0.010217089658530857</v>
      </c>
      <c r="G41" s="362">
        <f>E41/'- 7 -'!F41</f>
        <v>78.06216689043492</v>
      </c>
      <c r="H41" s="362">
        <v>738076</v>
      </c>
      <c r="I41" s="278">
        <f>H41/'- 3 -'!D41</f>
        <v>0.019651399305801932</v>
      </c>
      <c r="J41" s="362">
        <f>H41/'- 7 -'!F41</f>
        <v>150.14361853614875</v>
      </c>
    </row>
    <row r="42" spans="1:10" ht="13.5" customHeight="1">
      <c r="A42" s="388" t="s">
        <v>357</v>
      </c>
      <c r="B42" s="361">
        <v>114625</v>
      </c>
      <c r="C42" s="279">
        <f>B42/'- 3 -'!D42</f>
        <v>0.007883399009411799</v>
      </c>
      <c r="D42" s="361">
        <f>B42/'- 7 -'!F42</f>
        <v>60.96101685901186</v>
      </c>
      <c r="E42" s="361">
        <v>120616</v>
      </c>
      <c r="F42" s="279">
        <f>E42/'- 3 -'!D42</f>
        <v>0.008295433412599463</v>
      </c>
      <c r="G42" s="361">
        <f>E42/'- 7 -'!F42</f>
        <v>64.14721055150774</v>
      </c>
      <c r="H42" s="361">
        <v>271744</v>
      </c>
      <c r="I42" s="279">
        <f>H42/'- 3 -'!D42</f>
        <v>0.01868934683021679</v>
      </c>
      <c r="J42" s="361">
        <f>H42/'- 7 -'!F42</f>
        <v>144.52161889060255</v>
      </c>
    </row>
    <row r="43" spans="1:10" ht="13.5" customHeight="1">
      <c r="A43" s="387" t="s">
        <v>358</v>
      </c>
      <c r="B43" s="362">
        <v>101872</v>
      </c>
      <c r="C43" s="278">
        <f>B43/'- 3 -'!D43</f>
        <v>0.011176853363374675</v>
      </c>
      <c r="D43" s="362">
        <f>B43/'- 7 -'!F43</f>
        <v>83.5701394585726</v>
      </c>
      <c r="E43" s="362">
        <v>108053</v>
      </c>
      <c r="F43" s="278">
        <f>E43/'- 3 -'!D43</f>
        <v>0.01185499976905061</v>
      </c>
      <c r="G43" s="362">
        <f>E43/'- 7 -'!F43</f>
        <v>88.64068908941755</v>
      </c>
      <c r="H43" s="362">
        <v>240582</v>
      </c>
      <c r="I43" s="278">
        <f>H43/'- 3 -'!D43</f>
        <v>0.026395375921424984</v>
      </c>
      <c r="J43" s="362">
        <f>H43/'- 7 -'!F43</f>
        <v>197.36013125512716</v>
      </c>
    </row>
    <row r="44" spans="1:10" ht="13.5" customHeight="1">
      <c r="A44" s="388" t="s">
        <v>359</v>
      </c>
      <c r="B44" s="361">
        <v>70476</v>
      </c>
      <c r="C44" s="279">
        <f>B44/'- 3 -'!D44</f>
        <v>0.01076744356643276</v>
      </c>
      <c r="D44" s="361">
        <f>B44/'- 7 -'!F44</f>
        <v>86.1038485033598</v>
      </c>
      <c r="E44" s="361">
        <v>29791.59</v>
      </c>
      <c r="F44" s="279">
        <f>E44/'- 3 -'!D44</f>
        <v>0.004551609967638665</v>
      </c>
      <c r="G44" s="361">
        <f>E44/'- 7 -'!F44</f>
        <v>36.39778863775199</v>
      </c>
      <c r="H44" s="361">
        <v>165694</v>
      </c>
      <c r="I44" s="279">
        <f>H44/'- 3 -'!D44</f>
        <v>0.025315012121807562</v>
      </c>
      <c r="J44" s="361">
        <f>H44/'- 7 -'!F44</f>
        <v>202.4361637141112</v>
      </c>
    </row>
    <row r="45" spans="1:10" ht="13.5" customHeight="1">
      <c r="A45" s="387" t="s">
        <v>360</v>
      </c>
      <c r="B45" s="362">
        <v>77254</v>
      </c>
      <c r="C45" s="278">
        <f>B45/'- 3 -'!D45</f>
        <v>0.007812272469864897</v>
      </c>
      <c r="D45" s="362">
        <f>B45/'- 7 -'!F45</f>
        <v>52.98628257887517</v>
      </c>
      <c r="E45" s="362">
        <v>97296</v>
      </c>
      <c r="F45" s="278">
        <f>E45/'- 3 -'!D45</f>
        <v>0.009839009788852035</v>
      </c>
      <c r="G45" s="362">
        <f>E45/'- 7 -'!F45</f>
        <v>66.73251028806584</v>
      </c>
      <c r="H45" s="362">
        <v>169273</v>
      </c>
      <c r="I45" s="278">
        <f>H45/'- 3 -'!D45</f>
        <v>0.017117648248523583</v>
      </c>
      <c r="J45" s="362">
        <f>H45/'- 7 -'!F45</f>
        <v>116.099451303155</v>
      </c>
    </row>
    <row r="46" spans="1:10" ht="13.5" customHeight="1">
      <c r="A46" s="388" t="s">
        <v>361</v>
      </c>
      <c r="B46" s="361">
        <v>783957</v>
      </c>
      <c r="C46" s="279">
        <f>B46/'- 3 -'!D46</f>
        <v>0.0031287131311318705</v>
      </c>
      <c r="D46" s="361">
        <f>B46/'- 7 -'!F46</f>
        <v>25.43415631184505</v>
      </c>
      <c r="E46" s="361">
        <v>1284462</v>
      </c>
      <c r="F46" s="279">
        <f>E46/'- 3 -'!D46</f>
        <v>0.005126190755156092</v>
      </c>
      <c r="G46" s="361">
        <f>E46/'- 7 -'!F46</f>
        <v>41.67219284300685</v>
      </c>
      <c r="H46" s="361">
        <v>4150284</v>
      </c>
      <c r="I46" s="279">
        <f>H46/'- 3 -'!D46</f>
        <v>0.016563469742251813</v>
      </c>
      <c r="J46" s="361">
        <f>H46/'- 7 -'!F46</f>
        <v>134.64893099308958</v>
      </c>
    </row>
    <row r="47" spans="1:10" ht="13.5" customHeight="1">
      <c r="A47" s="387" t="s">
        <v>365</v>
      </c>
      <c r="B47" s="362">
        <v>5509</v>
      </c>
      <c r="C47" s="278">
        <f>B47/'- 3 -'!D47</f>
        <v>0.0009904281385865877</v>
      </c>
      <c r="D47" s="362">
        <f>B47/'- 7 -'!F47</f>
        <v>8.931871980284704</v>
      </c>
      <c r="E47" s="362">
        <v>45769</v>
      </c>
      <c r="F47" s="278">
        <f>E47/'- 3 -'!D47</f>
        <v>0.008228517966050015</v>
      </c>
      <c r="G47" s="362">
        <f>E47/'- 7 -'!F47</f>
        <v>74.20636207399721</v>
      </c>
      <c r="H47" s="362">
        <v>312163</v>
      </c>
      <c r="I47" s="278">
        <f>H47/'- 3 -'!D47</f>
        <v>0.05612180414333</v>
      </c>
      <c r="J47" s="362">
        <f>H47/'- 7 -'!F47</f>
        <v>506.11725412626873</v>
      </c>
    </row>
    <row r="48" spans="1:10" ht="4.5" customHeight="1">
      <c r="A48" s="389"/>
      <c r="B48" s="322"/>
      <c r="C48" s="162"/>
      <c r="D48" s="322"/>
      <c r="E48" s="322"/>
      <c r="F48" s="162"/>
      <c r="G48" s="322"/>
      <c r="H48" s="322"/>
      <c r="I48" s="162"/>
      <c r="J48" s="322"/>
    </row>
    <row r="49" spans="1:10" ht="13.5" customHeight="1">
      <c r="A49" s="383" t="s">
        <v>362</v>
      </c>
      <c r="B49" s="363">
        <f>SUM(B11:B47)</f>
        <v>7744496.550000001</v>
      </c>
      <c r="C49" s="81">
        <f>B49/'- 3 -'!D49</f>
        <v>0.005747317024911287</v>
      </c>
      <c r="D49" s="363">
        <f>B49/'- 7 -'!F49</f>
        <v>43.22802526958153</v>
      </c>
      <c r="E49" s="363">
        <f>SUM(E11:E47)</f>
        <v>13892220.66</v>
      </c>
      <c r="F49" s="81">
        <f>E49/'- 3 -'!D49</f>
        <v>0.010309643215354302</v>
      </c>
      <c r="G49" s="363">
        <f>E49/'- 7 -'!F49</f>
        <v>77.54322851897746</v>
      </c>
      <c r="H49" s="363">
        <f>SUM(H11:H47)</f>
        <v>24032520.58</v>
      </c>
      <c r="I49" s="81">
        <f>H49/'- 3 -'!D49</f>
        <v>0.01783492494175943</v>
      </c>
      <c r="J49" s="363">
        <f>H49/'- 7 -'!F49</f>
        <v>134.14408544400192</v>
      </c>
    </row>
    <row r="50" spans="1:10" ht="4.5" customHeight="1">
      <c r="A50" s="389" t="s">
        <v>15</v>
      </c>
      <c r="B50" s="322"/>
      <c r="C50" s="162"/>
      <c r="D50" s="322"/>
      <c r="E50" s="322"/>
      <c r="F50" s="162"/>
      <c r="G50" s="9"/>
      <c r="H50" s="322"/>
      <c r="I50" s="162"/>
      <c r="J50" s="322"/>
    </row>
    <row r="51" spans="1:10" ht="13.5" customHeight="1">
      <c r="A51" s="388" t="s">
        <v>363</v>
      </c>
      <c r="B51" s="361">
        <v>3320</v>
      </c>
      <c r="C51" s="279">
        <f>B51/'- 3 -'!D51</f>
        <v>0.0026278629458660234</v>
      </c>
      <c r="D51" s="361">
        <f>B51/'- 7 -'!F51</f>
        <v>21.69934640522876</v>
      </c>
      <c r="E51" s="361">
        <v>20817</v>
      </c>
      <c r="F51" s="279">
        <f>E51/'- 3 -'!D51</f>
        <v>0.016477175585570183</v>
      </c>
      <c r="G51" s="8">
        <f>E51/'- 7 -'!F51</f>
        <v>136.05882352941177</v>
      </c>
      <c r="H51" s="361">
        <v>18873</v>
      </c>
      <c r="I51" s="279">
        <f>H51/'- 3 -'!D51</f>
        <v>0.01493845101726791</v>
      </c>
      <c r="J51" s="361">
        <f>H51/'- 7 -'!F51</f>
        <v>123.3529411764706</v>
      </c>
    </row>
    <row r="52" spans="1:10" ht="13.5" customHeight="1">
      <c r="A52" s="387" t="s">
        <v>364</v>
      </c>
      <c r="B52" s="362">
        <v>38096</v>
      </c>
      <c r="C52" s="278">
        <f>B52/'- 3 -'!D52</f>
        <v>0.015976119693410815</v>
      </c>
      <c r="D52" s="362">
        <f>B52/'- 7 -'!F52</f>
        <v>139.54578754578753</v>
      </c>
      <c r="E52" s="362">
        <v>52073</v>
      </c>
      <c r="F52" s="278">
        <f>E52/'- 3 -'!D52</f>
        <v>0.021837580869250875</v>
      </c>
      <c r="G52" s="7">
        <f>E52/'- 7 -'!F52</f>
        <v>190.74358974358975</v>
      </c>
      <c r="H52" s="362">
        <v>63968</v>
      </c>
      <c r="I52" s="278">
        <f>H52/'- 3 -'!D52</f>
        <v>0.026825924625895187</v>
      </c>
      <c r="J52" s="362">
        <f>H52/'- 7 -'!F52</f>
        <v>234.3150183150183</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8"/>
  <sheetViews>
    <sheetView showGridLines="0" showZeros="0" workbookViewId="0" topLeftCell="A1">
      <selection activeCell="A1" sqref="A1"/>
    </sheetView>
  </sheetViews>
  <sheetFormatPr defaultColWidth="15.83203125" defaultRowHeight="12"/>
  <cols>
    <col min="1" max="1" width="36.83203125" style="67" customWidth="1"/>
    <col min="2" max="2" width="20.83203125" style="67" customWidth="1"/>
    <col min="3" max="4" width="15.83203125" style="67" customWidth="1"/>
    <col min="5" max="5" width="44.83203125" style="67" customWidth="1"/>
    <col min="6" max="16384" width="15.83203125" style="67" customWidth="1"/>
  </cols>
  <sheetData>
    <row r="1" spans="1:5" ht="6.75" customHeight="1">
      <c r="A1" s="65"/>
      <c r="B1" s="116"/>
      <c r="C1" s="116"/>
      <c r="D1" s="116"/>
      <c r="E1" s="116"/>
    </row>
    <row r="2" spans="1:5" ht="15.75" customHeight="1">
      <c r="A2" s="333"/>
      <c r="B2" s="360" t="s">
        <v>12</v>
      </c>
      <c r="C2" s="164"/>
      <c r="D2" s="164"/>
      <c r="E2" s="336" t="s">
        <v>301</v>
      </c>
    </row>
    <row r="3" spans="1:5" ht="15.75" customHeight="1">
      <c r="A3" s="334"/>
      <c r="B3" s="456" t="str">
        <f>OPYEAR</f>
        <v>OPERATING FUND 2002/2003 ACTUAL</v>
      </c>
      <c r="C3" s="167"/>
      <c r="D3" s="167"/>
      <c r="E3" s="182"/>
    </row>
    <row r="4" spans="2:5" ht="15.75" customHeight="1">
      <c r="B4" s="116"/>
      <c r="C4" s="116"/>
      <c r="D4" s="116"/>
      <c r="E4" s="116"/>
    </row>
    <row r="5" spans="2:5" ht="15.75" customHeight="1">
      <c r="B5" s="280" t="s">
        <v>238</v>
      </c>
      <c r="C5" s="273"/>
      <c r="D5" s="275"/>
      <c r="E5" s="198"/>
    </row>
    <row r="6" spans="2:5" ht="15.75" customHeight="1">
      <c r="B6" s="53" t="s">
        <v>33</v>
      </c>
      <c r="C6" s="51"/>
      <c r="D6" s="52"/>
      <c r="E6" s="146"/>
    </row>
    <row r="7" spans="2:5" ht="15.75" customHeight="1">
      <c r="B7" s="54" t="s">
        <v>63</v>
      </c>
      <c r="C7" s="55"/>
      <c r="D7" s="56"/>
      <c r="E7" s="146"/>
    </row>
    <row r="8" spans="1:5" ht="15.75" customHeight="1">
      <c r="A8" s="313"/>
      <c r="B8" s="58"/>
      <c r="C8" s="190"/>
      <c r="D8" s="191" t="s">
        <v>87</v>
      </c>
      <c r="E8" s="146"/>
    </row>
    <row r="9" spans="1:4" ht="15.75" customHeight="1">
      <c r="A9" s="314" t="s">
        <v>112</v>
      </c>
      <c r="B9" s="61" t="s">
        <v>113</v>
      </c>
      <c r="C9" s="61" t="s">
        <v>114</v>
      </c>
      <c r="D9" s="61" t="s">
        <v>115</v>
      </c>
    </row>
    <row r="10" ht="4.5" customHeight="1">
      <c r="A10" s="62"/>
    </row>
    <row r="11" spans="1:4" ht="13.5" customHeight="1">
      <c r="A11" s="387" t="s">
        <v>327</v>
      </c>
      <c r="B11" s="362">
        <v>9670</v>
      </c>
      <c r="C11" s="278">
        <f>B11/'- 3 -'!D11</f>
        <v>0.0008655807640005022</v>
      </c>
      <c r="D11" s="362">
        <f>B11/'- 7 -'!F11</f>
        <v>5.959938366718028</v>
      </c>
    </row>
    <row r="12" spans="1:4" ht="13.5" customHeight="1">
      <c r="A12" s="388" t="s">
        <v>328</v>
      </c>
      <c r="B12" s="361">
        <v>5287</v>
      </c>
      <c r="C12" s="279">
        <f>B12/'- 3 -'!D12</f>
        <v>0.0002880171152005268</v>
      </c>
      <c r="D12" s="361">
        <f>B12/'- 7 -'!F12</f>
        <v>2.2498829737435635</v>
      </c>
    </row>
    <row r="13" spans="1:4" ht="13.5" customHeight="1">
      <c r="A13" s="387" t="s">
        <v>329</v>
      </c>
      <c r="B13" s="362">
        <v>73379</v>
      </c>
      <c r="C13" s="278">
        <f>B13/'- 3 -'!D13</f>
        <v>0.0015769552846494656</v>
      </c>
      <c r="D13" s="362">
        <f>B13/'- 7 -'!F13</f>
        <v>10.061565885095296</v>
      </c>
    </row>
    <row r="14" spans="1:4" ht="13.5" customHeight="1">
      <c r="A14" s="388" t="s">
        <v>366</v>
      </c>
      <c r="B14" s="361">
        <v>15699</v>
      </c>
      <c r="C14" s="279">
        <f>B14/'- 3 -'!D14</f>
        <v>0.000397632008811884</v>
      </c>
      <c r="D14" s="361">
        <f>B14/'- 7 -'!F14</f>
        <v>3.6686763881099274</v>
      </c>
    </row>
    <row r="15" spans="1:4" ht="13.5" customHeight="1">
      <c r="A15" s="387" t="s">
        <v>330</v>
      </c>
      <c r="B15" s="362">
        <v>0</v>
      </c>
      <c r="C15" s="278">
        <f>B15/'- 3 -'!D15</f>
        <v>0</v>
      </c>
      <c r="D15" s="362">
        <f>B15/'- 7 -'!F15</f>
        <v>0</v>
      </c>
    </row>
    <row r="16" spans="1:4" ht="13.5" customHeight="1">
      <c r="A16" s="388" t="s">
        <v>331</v>
      </c>
      <c r="B16" s="361">
        <v>15820</v>
      </c>
      <c r="C16" s="279">
        <f>B16/'- 3 -'!D16</f>
        <v>0.0014670088079876498</v>
      </c>
      <c r="D16" s="361">
        <f>B16/'- 7 -'!F16</f>
        <v>11.226864993754969</v>
      </c>
    </row>
    <row r="17" spans="1:4" ht="13.5" customHeight="1">
      <c r="A17" s="387" t="s">
        <v>332</v>
      </c>
      <c r="B17" s="362">
        <v>33489</v>
      </c>
      <c r="C17" s="278">
        <f>B17/'- 3 -'!D17</f>
        <v>0.0027207633508651375</v>
      </c>
      <c r="D17" s="362">
        <f>B17/'- 7 -'!F17</f>
        <v>21.32133852853541</v>
      </c>
    </row>
    <row r="18" spans="1:4" ht="13.5" customHeight="1">
      <c r="A18" s="388" t="s">
        <v>333</v>
      </c>
      <c r="B18" s="361">
        <v>124126</v>
      </c>
      <c r="C18" s="279">
        <f>B18/'- 3 -'!D18</f>
        <v>0.0017161042766725319</v>
      </c>
      <c r="D18" s="361">
        <f>B18/'- 7 -'!F18</f>
        <v>20.935402260077584</v>
      </c>
    </row>
    <row r="19" spans="1:4" ht="13.5" customHeight="1">
      <c r="A19" s="387" t="s">
        <v>334</v>
      </c>
      <c r="B19" s="362">
        <v>14476</v>
      </c>
      <c r="C19" s="278">
        <f>B19/'- 3 -'!D19</f>
        <v>0.0008187491982750839</v>
      </c>
      <c r="D19" s="362">
        <f>B19/'- 7 -'!F19</f>
        <v>4.945171318279644</v>
      </c>
    </row>
    <row r="20" spans="1:4" ht="13.5" customHeight="1">
      <c r="A20" s="388" t="s">
        <v>335</v>
      </c>
      <c r="B20" s="361">
        <v>19142</v>
      </c>
      <c r="C20" s="279">
        <f>B20/'- 3 -'!D20</f>
        <v>0.00057246965839035</v>
      </c>
      <c r="D20" s="361">
        <f>B20/'- 7 -'!F20</f>
        <v>3.1272667864727985</v>
      </c>
    </row>
    <row r="21" spans="1:4" ht="13.5" customHeight="1">
      <c r="A21" s="387" t="s">
        <v>336</v>
      </c>
      <c r="B21" s="362">
        <v>6785</v>
      </c>
      <c r="C21" s="278">
        <f>B21/'- 3 -'!D21</f>
        <v>0.00029166018652324467</v>
      </c>
      <c r="D21" s="362">
        <f>B21/'- 7 -'!F21</f>
        <v>2.050220583791624</v>
      </c>
    </row>
    <row r="22" spans="1:4" ht="13.5" customHeight="1">
      <c r="A22" s="388" t="s">
        <v>337</v>
      </c>
      <c r="B22" s="361">
        <v>0</v>
      </c>
      <c r="C22" s="279">
        <f>B22/'- 3 -'!D22</f>
        <v>0</v>
      </c>
      <c r="D22" s="361">
        <f>B22/'- 7 -'!F22</f>
        <v>0</v>
      </c>
    </row>
    <row r="23" spans="1:4" ht="13.5" customHeight="1">
      <c r="A23" s="387" t="s">
        <v>338</v>
      </c>
      <c r="B23" s="362">
        <v>270</v>
      </c>
      <c r="C23" s="278">
        <f>B23/'- 3 -'!D23</f>
        <v>2.522230425179856E-05</v>
      </c>
      <c r="D23" s="362">
        <f>B23/'- 7 -'!F23</f>
        <v>0.1969221792721173</v>
      </c>
    </row>
    <row r="24" spans="1:4" ht="13.5" customHeight="1">
      <c r="A24" s="388" t="s">
        <v>339</v>
      </c>
      <c r="B24" s="361">
        <v>10726</v>
      </c>
      <c r="C24" s="279">
        <f>B24/'- 3 -'!D24</f>
        <v>0.0003216895144334943</v>
      </c>
      <c r="D24" s="361">
        <f>B24/'- 7 -'!F24</f>
        <v>2.3258234490534946</v>
      </c>
    </row>
    <row r="25" spans="1:4" ht="13.5" customHeight="1">
      <c r="A25" s="387" t="s">
        <v>340</v>
      </c>
      <c r="B25" s="362">
        <v>171428</v>
      </c>
      <c r="C25" s="278">
        <f>B25/'- 3 -'!D25</f>
        <v>0.0016566810916441</v>
      </c>
      <c r="D25" s="362">
        <f>B25/'- 7 -'!F25</f>
        <v>11.513580313247186</v>
      </c>
    </row>
    <row r="26" spans="1:4" ht="13.5" customHeight="1">
      <c r="A26" s="388" t="s">
        <v>341</v>
      </c>
      <c r="B26" s="361">
        <v>77389.45</v>
      </c>
      <c r="C26" s="279">
        <f>B26/'- 3 -'!D26</f>
        <v>0.0029976908107238434</v>
      </c>
      <c r="D26" s="361">
        <f>B26/'- 7 -'!F26</f>
        <v>23.101328358208953</v>
      </c>
    </row>
    <row r="27" spans="1:4" ht="13.5" customHeight="1">
      <c r="A27" s="387" t="s">
        <v>342</v>
      </c>
      <c r="B27" s="362">
        <v>0</v>
      </c>
      <c r="C27" s="278">
        <f>B27/'- 3 -'!D27</f>
        <v>0</v>
      </c>
      <c r="D27" s="362">
        <f>B27/'- 7 -'!F27</f>
        <v>0</v>
      </c>
    </row>
    <row r="28" spans="1:4" ht="13.5" customHeight="1">
      <c r="A28" s="388" t="s">
        <v>343</v>
      </c>
      <c r="B28" s="361">
        <v>8938</v>
      </c>
      <c r="C28" s="279">
        <f>B28/'- 3 -'!D28</f>
        <v>0.0005553997236853441</v>
      </c>
      <c r="D28" s="361">
        <f>B28/'- 7 -'!F28</f>
        <v>4.174294787969363</v>
      </c>
    </row>
    <row r="29" spans="1:4" ht="13.5" customHeight="1">
      <c r="A29" s="387" t="s">
        <v>344</v>
      </c>
      <c r="B29" s="362">
        <v>533073</v>
      </c>
      <c r="C29" s="278">
        <f>B29/'- 3 -'!D29</f>
        <v>0.005462050306709505</v>
      </c>
      <c r="D29" s="362">
        <f>B29/'- 7 -'!F29</f>
        <v>40.76136076893079</v>
      </c>
    </row>
    <row r="30" spans="1:4" ht="13.5" customHeight="1">
      <c r="A30" s="388" t="s">
        <v>345</v>
      </c>
      <c r="B30" s="361">
        <v>17508</v>
      </c>
      <c r="C30" s="279">
        <f>B30/'- 3 -'!D30</f>
        <v>0.001817134871926657</v>
      </c>
      <c r="D30" s="361">
        <f>B30/'- 7 -'!F30</f>
        <v>13.65039762981444</v>
      </c>
    </row>
    <row r="31" spans="1:4" ht="13.5" customHeight="1">
      <c r="A31" s="387" t="s">
        <v>346</v>
      </c>
      <c r="B31" s="362">
        <v>8561</v>
      </c>
      <c r="C31" s="278">
        <f>B31/'- 3 -'!D31</f>
        <v>0.00035093058297108216</v>
      </c>
      <c r="D31" s="362">
        <f>B31/'- 7 -'!F31</f>
        <v>2.5439039610138767</v>
      </c>
    </row>
    <row r="32" spans="1:4" ht="13.5" customHeight="1">
      <c r="A32" s="388" t="s">
        <v>347</v>
      </c>
      <c r="B32" s="361">
        <v>23027</v>
      </c>
      <c r="C32" s="279">
        <f>B32/'- 3 -'!D32</f>
        <v>0.0012667560351212746</v>
      </c>
      <c r="D32" s="361">
        <f>B32/'- 7 -'!F32</f>
        <v>9.79872340425532</v>
      </c>
    </row>
    <row r="33" spans="1:4" ht="13.5" customHeight="1">
      <c r="A33" s="387" t="s">
        <v>348</v>
      </c>
      <c r="B33" s="362">
        <v>7628</v>
      </c>
      <c r="C33" s="278">
        <f>B33/'- 3 -'!D33</f>
        <v>0.0003518954492232812</v>
      </c>
      <c r="D33" s="362">
        <f>B33/'- 7 -'!F33</f>
        <v>3.059644619148851</v>
      </c>
    </row>
    <row r="34" spans="1:4" ht="13.5" customHeight="1">
      <c r="A34" s="388" t="s">
        <v>349</v>
      </c>
      <c r="B34" s="361">
        <v>16667</v>
      </c>
      <c r="C34" s="279">
        <f>B34/'- 3 -'!D34</f>
        <v>0.0010142853625211981</v>
      </c>
      <c r="D34" s="361">
        <f>B34/'- 7 -'!F34</f>
        <v>7.534810126582278</v>
      </c>
    </row>
    <row r="35" spans="1:4" ht="13.5" customHeight="1">
      <c r="A35" s="387" t="s">
        <v>350</v>
      </c>
      <c r="B35" s="362">
        <v>274008</v>
      </c>
      <c r="C35" s="278">
        <f>B35/'- 3 -'!D35</f>
        <v>0.002239099912037812</v>
      </c>
      <c r="D35" s="362">
        <f>B35/'- 7 -'!F35</f>
        <v>15.378415844918255</v>
      </c>
    </row>
    <row r="36" spans="1:4" ht="13.5" customHeight="1">
      <c r="A36" s="388" t="s">
        <v>351</v>
      </c>
      <c r="B36" s="361">
        <v>0</v>
      </c>
      <c r="C36" s="279">
        <f>B36/'- 3 -'!D36</f>
        <v>0</v>
      </c>
      <c r="D36" s="361">
        <f>B36/'- 7 -'!F36</f>
        <v>0</v>
      </c>
    </row>
    <row r="37" spans="1:4" ht="13.5" customHeight="1">
      <c r="A37" s="387" t="s">
        <v>352</v>
      </c>
      <c r="B37" s="362">
        <v>79363</v>
      </c>
      <c r="C37" s="278">
        <f>B37/'- 3 -'!D37</f>
        <v>0.003393012496852839</v>
      </c>
      <c r="D37" s="362">
        <f>B37/'- 7 -'!F37</f>
        <v>23.47948285553682</v>
      </c>
    </row>
    <row r="38" spans="1:4" ht="13.5" customHeight="1">
      <c r="A38" s="388" t="s">
        <v>353</v>
      </c>
      <c r="B38" s="361">
        <v>117290</v>
      </c>
      <c r="C38" s="279">
        <f>B38/'- 3 -'!D38</f>
        <v>0.0019058972496779365</v>
      </c>
      <c r="D38" s="361">
        <f>B38/'- 7 -'!F38</f>
        <v>13.760779022701941</v>
      </c>
    </row>
    <row r="39" spans="1:4" ht="13.5" customHeight="1">
      <c r="A39" s="387" t="s">
        <v>354</v>
      </c>
      <c r="B39" s="362">
        <v>14453</v>
      </c>
      <c r="C39" s="278">
        <f>B39/'- 3 -'!D39</f>
        <v>0.0009844494202199468</v>
      </c>
      <c r="D39" s="362">
        <f>B39/'- 7 -'!F39</f>
        <v>7.989496959646213</v>
      </c>
    </row>
    <row r="40" spans="1:4" ht="13.5" customHeight="1">
      <c r="A40" s="388" t="s">
        <v>355</v>
      </c>
      <c r="B40" s="361">
        <v>142472</v>
      </c>
      <c r="C40" s="279">
        <f>B40/'- 3 -'!D40</f>
        <v>0.002295301033599162</v>
      </c>
      <c r="D40" s="361">
        <f>B40/'- 7 -'!F40</f>
        <v>15.623043309007771</v>
      </c>
    </row>
    <row r="41" spans="1:4" ht="13.5" customHeight="1">
      <c r="A41" s="387" t="s">
        <v>356</v>
      </c>
      <c r="B41" s="362">
        <v>141541</v>
      </c>
      <c r="C41" s="278">
        <f>B41/'- 3 -'!D41</f>
        <v>0.0037685532508068423</v>
      </c>
      <c r="D41" s="362">
        <f>B41/'- 7 -'!F41</f>
        <v>28.793075389560194</v>
      </c>
    </row>
    <row r="42" spans="1:4" ht="13.5" customHeight="1">
      <c r="A42" s="388" t="s">
        <v>357</v>
      </c>
      <c r="B42" s="361">
        <v>17175</v>
      </c>
      <c r="C42" s="279">
        <f>B42/'- 3 -'!D42</f>
        <v>0.0011812203095890742</v>
      </c>
      <c r="D42" s="361">
        <f>B42/'- 7 -'!F42</f>
        <v>9.134180715843216</v>
      </c>
    </row>
    <row r="43" spans="1:4" ht="13.5" customHeight="1">
      <c r="A43" s="387" t="s">
        <v>358</v>
      </c>
      <c r="B43" s="362">
        <v>0</v>
      </c>
      <c r="C43" s="278">
        <f>B43/'- 3 -'!D43</f>
        <v>0</v>
      </c>
      <c r="D43" s="362">
        <f>B43/'- 7 -'!F43</f>
        <v>0</v>
      </c>
    </row>
    <row r="44" spans="1:4" ht="13.5" customHeight="1">
      <c r="A44" s="388" t="s">
        <v>359</v>
      </c>
      <c r="B44" s="361">
        <v>5538</v>
      </c>
      <c r="C44" s="279">
        <f>B44/'- 3 -'!D44</f>
        <v>0.0008461050921009227</v>
      </c>
      <c r="D44" s="361">
        <f>B44/'- 7 -'!F44</f>
        <v>6.766035430665852</v>
      </c>
    </row>
    <row r="45" spans="1:4" ht="13.5" customHeight="1">
      <c r="A45" s="387" t="s">
        <v>360</v>
      </c>
      <c r="B45" s="362">
        <v>18368</v>
      </c>
      <c r="C45" s="278">
        <f>B45/'- 3 -'!D45</f>
        <v>0.0018574548984709974</v>
      </c>
      <c r="D45" s="362">
        <f>B45/'- 7 -'!F45</f>
        <v>12.598079561042525</v>
      </c>
    </row>
    <row r="46" spans="1:4" ht="13.5" customHeight="1">
      <c r="A46" s="388" t="s">
        <v>361</v>
      </c>
      <c r="B46" s="361">
        <v>998791</v>
      </c>
      <c r="C46" s="279">
        <f>B46/'- 3 -'!D46</f>
        <v>0.003986099386772912</v>
      </c>
      <c r="D46" s="361">
        <f>B46/'- 7 -'!F46</f>
        <v>32.40408136780975</v>
      </c>
    </row>
    <row r="47" spans="1:4" ht="13.5" customHeight="1">
      <c r="A47" s="387" t="s">
        <v>365</v>
      </c>
      <c r="B47" s="362">
        <v>211933</v>
      </c>
      <c r="C47" s="278">
        <f>B47/'- 3 -'!D47</f>
        <v>0.038102088708489974</v>
      </c>
      <c r="D47" s="362">
        <f>B47/'- 7 -'!F47</f>
        <v>343.6119848244107</v>
      </c>
    </row>
    <row r="48" spans="1:4" ht="4.5" customHeight="1">
      <c r="A48" s="389"/>
      <c r="B48" s="322"/>
      <c r="C48" s="162"/>
      <c r="D48" s="322"/>
    </row>
    <row r="49" spans="1:5" ht="13.5" customHeight="1">
      <c r="A49" s="383" t="s">
        <v>362</v>
      </c>
      <c r="B49" s="363">
        <f>SUM(B11:B47)</f>
        <v>3214020.45</v>
      </c>
      <c r="C49" s="81">
        <f>B49/'- 3 -'!D49</f>
        <v>0.002385176922920578</v>
      </c>
      <c r="D49" s="363">
        <f>B49/'- 7 -'!F49</f>
        <v>17.939934033484953</v>
      </c>
      <c r="E49" s="62"/>
    </row>
    <row r="50" spans="1:4" ht="4.5" customHeight="1">
      <c r="A50" s="389" t="s">
        <v>15</v>
      </c>
      <c r="B50" s="322"/>
      <c r="C50" s="162"/>
      <c r="D50" s="322"/>
    </row>
    <row r="51" spans="1:4" ht="13.5" customHeight="1">
      <c r="A51" s="388" t="s">
        <v>363</v>
      </c>
      <c r="B51" s="361">
        <v>0</v>
      </c>
      <c r="C51" s="279">
        <f>B51/'- 3 -'!D51</f>
        <v>0</v>
      </c>
      <c r="D51" s="361">
        <f>B51/'- 7 -'!F51</f>
        <v>0</v>
      </c>
    </row>
    <row r="52" spans="1:4" ht="13.5" customHeight="1">
      <c r="A52" s="387" t="s">
        <v>364</v>
      </c>
      <c r="B52" s="362">
        <v>5950</v>
      </c>
      <c r="C52" s="278">
        <f>B52/'- 3 -'!D52</f>
        <v>0.0024952202902087973</v>
      </c>
      <c r="D52" s="362">
        <f>B52/'- 7 -'!F52</f>
        <v>21.794871794871796</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8"/>
  <sheetViews>
    <sheetView showGridLines="0" showZeros="0" workbookViewId="0" topLeftCell="A1">
      <selection activeCell="A1" sqref="A1"/>
    </sheetView>
  </sheetViews>
  <sheetFormatPr defaultColWidth="15.83203125" defaultRowHeight="12"/>
  <cols>
    <col min="1" max="1" width="31.83203125" style="67" customWidth="1"/>
    <col min="2" max="2" width="14.83203125" style="67" customWidth="1"/>
    <col min="3" max="3" width="7.83203125" style="67" customWidth="1"/>
    <col min="4" max="4" width="9.83203125" style="67" customWidth="1"/>
    <col min="5" max="5" width="14.83203125" style="67" customWidth="1"/>
    <col min="6" max="6" width="7.83203125" style="67" customWidth="1"/>
    <col min="7" max="7" width="9.83203125" style="67" customWidth="1"/>
    <col min="8" max="8" width="15.83203125" style="67" customWidth="1"/>
    <col min="9" max="9" width="7.83203125" style="67" customWidth="1"/>
    <col min="10" max="10" width="9.83203125" style="67" customWidth="1"/>
    <col min="11" max="16384" width="15.83203125" style="67" customWidth="1"/>
  </cols>
  <sheetData>
    <row r="1" spans="1:7" ht="6.75" customHeight="1">
      <c r="A1" s="65"/>
      <c r="B1" s="116"/>
      <c r="C1" s="116"/>
      <c r="D1" s="116"/>
      <c r="E1" s="116"/>
      <c r="F1" s="116"/>
      <c r="G1" s="116"/>
    </row>
    <row r="2" spans="1:10" ht="15.75" customHeight="1">
      <c r="A2" s="333"/>
      <c r="B2" s="360" t="s">
        <v>12</v>
      </c>
      <c r="C2" s="164"/>
      <c r="D2" s="164"/>
      <c r="E2" s="164"/>
      <c r="F2" s="164"/>
      <c r="G2" s="164"/>
      <c r="H2" s="336"/>
      <c r="I2" s="336"/>
      <c r="J2" s="336" t="s">
        <v>300</v>
      </c>
    </row>
    <row r="3" spans="1:10" ht="15.75" customHeight="1">
      <c r="A3" s="334"/>
      <c r="B3" s="456" t="str">
        <f>OPYEAR</f>
        <v>OPERATING FUND 2002/2003 ACTUAL</v>
      </c>
      <c r="C3" s="167"/>
      <c r="D3" s="167"/>
      <c r="E3" s="167"/>
      <c r="F3" s="167"/>
      <c r="G3" s="167"/>
      <c r="H3" s="179"/>
      <c r="I3" s="167"/>
      <c r="J3" s="167"/>
    </row>
    <row r="4" spans="2:7" ht="15.75" customHeight="1">
      <c r="B4" s="116"/>
      <c r="C4" s="116"/>
      <c r="D4" s="116"/>
      <c r="E4" s="116"/>
      <c r="F4" s="116"/>
      <c r="G4" s="116"/>
    </row>
    <row r="5" spans="2:10" ht="15.75" customHeight="1">
      <c r="B5" s="270" t="s">
        <v>25</v>
      </c>
      <c r="C5" s="196"/>
      <c r="D5" s="196"/>
      <c r="E5" s="196"/>
      <c r="F5" s="196"/>
      <c r="G5" s="196"/>
      <c r="H5" s="140"/>
      <c r="I5" s="140"/>
      <c r="J5" s="303"/>
    </row>
    <row r="6" spans="2:10" ht="15.75" customHeight="1">
      <c r="B6" s="53" t="s">
        <v>35</v>
      </c>
      <c r="C6" s="51"/>
      <c r="D6" s="52"/>
      <c r="E6" s="53" t="s">
        <v>409</v>
      </c>
      <c r="F6" s="51"/>
      <c r="G6" s="52"/>
      <c r="H6" s="53" t="s">
        <v>34</v>
      </c>
      <c r="I6" s="51"/>
      <c r="J6" s="52"/>
    </row>
    <row r="7" spans="2:10" ht="15.75" customHeight="1">
      <c r="B7" s="54" t="s">
        <v>65</v>
      </c>
      <c r="C7" s="55"/>
      <c r="D7" s="56"/>
      <c r="E7" s="54" t="s">
        <v>368</v>
      </c>
      <c r="F7" s="55"/>
      <c r="G7" s="56"/>
      <c r="H7" s="54" t="s">
        <v>64</v>
      </c>
      <c r="I7" s="55"/>
      <c r="J7" s="56"/>
    </row>
    <row r="8" spans="1:10" ht="15.75" customHeight="1">
      <c r="A8" s="313"/>
      <c r="B8" s="116"/>
      <c r="C8" s="190"/>
      <c r="D8" s="191" t="s">
        <v>87</v>
      </c>
      <c r="E8" s="58"/>
      <c r="F8" s="59"/>
      <c r="G8" s="191" t="s">
        <v>87</v>
      </c>
      <c r="H8" s="58"/>
      <c r="I8" s="59"/>
      <c r="J8" s="191" t="s">
        <v>87</v>
      </c>
    </row>
    <row r="9" spans="1:10" ht="15.75" customHeight="1">
      <c r="A9" s="314" t="s">
        <v>112</v>
      </c>
      <c r="B9" s="60" t="s">
        <v>113</v>
      </c>
      <c r="C9" s="61" t="s">
        <v>114</v>
      </c>
      <c r="D9" s="61" t="s">
        <v>115</v>
      </c>
      <c r="E9" s="61" t="s">
        <v>113</v>
      </c>
      <c r="F9" s="61" t="s">
        <v>114</v>
      </c>
      <c r="G9" s="61" t="s">
        <v>115</v>
      </c>
      <c r="H9" s="61" t="s">
        <v>113</v>
      </c>
      <c r="I9" s="61" t="s">
        <v>114</v>
      </c>
      <c r="J9" s="61" t="s">
        <v>115</v>
      </c>
    </row>
    <row r="10" ht="4.5" customHeight="1">
      <c r="A10" s="62"/>
    </row>
    <row r="11" spans="1:10" ht="13.5" customHeight="1">
      <c r="A11" s="387" t="s">
        <v>327</v>
      </c>
      <c r="B11" s="362">
        <v>0</v>
      </c>
      <c r="C11" s="278">
        <f>B11/'- 3 -'!D11</f>
        <v>0</v>
      </c>
      <c r="D11" s="362">
        <f>B11/'- 7 -'!F11</f>
        <v>0</v>
      </c>
      <c r="E11" s="362">
        <v>153652</v>
      </c>
      <c r="F11" s="278">
        <f>E11/'- 3 -'!D11</f>
        <v>0.01375369343849071</v>
      </c>
      <c r="G11" s="362">
        <f>E11/'- 7 -'!F11</f>
        <v>94.70077041602465</v>
      </c>
      <c r="H11" s="362">
        <v>67056</v>
      </c>
      <c r="I11" s="278">
        <f>H11/'- 3 -'!D11</f>
        <v>0.006002314758099036</v>
      </c>
      <c r="J11" s="362">
        <f>H11/'- 7 -'!F11</f>
        <v>41.328813559322036</v>
      </c>
    </row>
    <row r="12" spans="1:10" ht="13.5" customHeight="1">
      <c r="A12" s="388" t="s">
        <v>328</v>
      </c>
      <c r="B12" s="361">
        <v>0</v>
      </c>
      <c r="C12" s="279">
        <f>B12/'- 3 -'!D12</f>
        <v>0</v>
      </c>
      <c r="D12" s="361">
        <f>B12/'- 7 -'!F12</f>
        <v>0</v>
      </c>
      <c r="E12" s="361">
        <v>241650</v>
      </c>
      <c r="F12" s="279">
        <f>E12/'- 3 -'!D12</f>
        <v>0.013164239812409174</v>
      </c>
      <c r="G12" s="361">
        <f>E12/'- 7 -'!F12</f>
        <v>102.83416315587897</v>
      </c>
      <c r="H12" s="361">
        <v>80459</v>
      </c>
      <c r="I12" s="279">
        <f>H12/'- 3 -'!D12</f>
        <v>0.004383122578384563</v>
      </c>
      <c r="J12" s="361">
        <f>H12/'- 7 -'!F12</f>
        <v>34.23932933316311</v>
      </c>
    </row>
    <row r="13" spans="1:10" ht="13.5" customHeight="1">
      <c r="A13" s="387" t="s">
        <v>329</v>
      </c>
      <c r="B13" s="362">
        <v>117551</v>
      </c>
      <c r="C13" s="278">
        <f>B13/'- 3 -'!D13</f>
        <v>0.002526235989395186</v>
      </c>
      <c r="D13" s="362">
        <f>B13/'- 7 -'!F13</f>
        <v>16.118332647744413</v>
      </c>
      <c r="E13" s="362">
        <v>830821</v>
      </c>
      <c r="F13" s="278">
        <f>E13/'- 3 -'!D13</f>
        <v>0.01785480268943095</v>
      </c>
      <c r="G13" s="362">
        <f>E13/'- 7 -'!F13</f>
        <v>113.9203345673934</v>
      </c>
      <c r="H13" s="362">
        <v>459888</v>
      </c>
      <c r="I13" s="278">
        <f>H13/'- 3 -'!D13</f>
        <v>0.009883247413386302</v>
      </c>
      <c r="J13" s="362">
        <f>H13/'- 7 -'!F13</f>
        <v>63.05882352941177</v>
      </c>
    </row>
    <row r="14" spans="1:10" ht="13.5" customHeight="1">
      <c r="A14" s="388" t="s">
        <v>366</v>
      </c>
      <c r="B14" s="361">
        <v>782447</v>
      </c>
      <c r="C14" s="279">
        <f>B14/'- 3 -'!D14</f>
        <v>0.019818203223060844</v>
      </c>
      <c r="D14" s="361">
        <f>B14/'- 7 -'!F14</f>
        <v>182.84889699009162</v>
      </c>
      <c r="E14" s="361">
        <v>1060578</v>
      </c>
      <c r="F14" s="279">
        <f>E14/'- 3 -'!D14</f>
        <v>0.02686284226012423</v>
      </c>
      <c r="G14" s="361">
        <f>E14/'- 7 -'!F14</f>
        <v>247.84492428491308</v>
      </c>
      <c r="H14" s="361">
        <v>176943</v>
      </c>
      <c r="I14" s="279">
        <f>H14/'- 3 -'!D14</f>
        <v>0.004481699505395323</v>
      </c>
      <c r="J14" s="361">
        <f>H14/'- 7 -'!F14</f>
        <v>41.349551318003364</v>
      </c>
    </row>
    <row r="15" spans="1:10" ht="13.5" customHeight="1">
      <c r="A15" s="387" t="s">
        <v>330</v>
      </c>
      <c r="B15" s="362">
        <v>132277</v>
      </c>
      <c r="C15" s="278">
        <f>B15/'- 3 -'!D15</f>
        <v>0.010535335910253596</v>
      </c>
      <c r="D15" s="362">
        <f>B15/'- 7 -'!F15</f>
        <v>78.45610913404508</v>
      </c>
      <c r="E15" s="362">
        <v>149387</v>
      </c>
      <c r="F15" s="278">
        <f>E15/'- 3 -'!D15</f>
        <v>0.011898079224846753</v>
      </c>
      <c r="G15" s="362">
        <f>E15/'- 7 -'!F15</f>
        <v>88.60438908659549</v>
      </c>
      <c r="H15" s="362">
        <v>63624</v>
      </c>
      <c r="I15" s="278">
        <f>H15/'- 3 -'!D15</f>
        <v>0.005067398050711574</v>
      </c>
      <c r="J15" s="362">
        <f>H15/'- 7 -'!F15</f>
        <v>37.736654804270465</v>
      </c>
    </row>
    <row r="16" spans="1:10" ht="13.5" customHeight="1">
      <c r="A16" s="388" t="s">
        <v>331</v>
      </c>
      <c r="B16" s="361">
        <v>17027</v>
      </c>
      <c r="C16" s="279">
        <f>B16/'- 3 -'!D16</f>
        <v>0.001578935459772801</v>
      </c>
      <c r="D16" s="361">
        <f>B16/'- 7 -'!F16</f>
        <v>12.083427955035768</v>
      </c>
      <c r="E16" s="361">
        <v>155947</v>
      </c>
      <c r="F16" s="279">
        <f>E16/'- 3 -'!D16</f>
        <v>0.014461164511962705</v>
      </c>
      <c r="G16" s="361">
        <f>E16/'- 7 -'!F16</f>
        <v>110.66977972067674</v>
      </c>
      <c r="H16" s="361">
        <v>67297</v>
      </c>
      <c r="I16" s="279">
        <f>H16/'- 3 -'!D16</f>
        <v>0.006240536773144428</v>
      </c>
      <c r="J16" s="361">
        <f>H16/'- 7 -'!F16</f>
        <v>47.75817531509027</v>
      </c>
    </row>
    <row r="17" spans="1:10" ht="13.5" customHeight="1">
      <c r="A17" s="387" t="s">
        <v>332</v>
      </c>
      <c r="B17" s="362">
        <v>66720</v>
      </c>
      <c r="C17" s="278">
        <f>B17/'- 3 -'!D17</f>
        <v>0.005420565880430051</v>
      </c>
      <c r="D17" s="362">
        <f>B17/'- 7 -'!F17</f>
        <v>42.47841699136679</v>
      </c>
      <c r="E17" s="362">
        <v>163485</v>
      </c>
      <c r="F17" s="278">
        <f>E17/'- 3 -'!D17</f>
        <v>0.01328209252041527</v>
      </c>
      <c r="G17" s="362">
        <f>E17/'- 7 -'!F17</f>
        <v>104.08549163419664</v>
      </c>
      <c r="H17" s="362">
        <v>59213</v>
      </c>
      <c r="I17" s="278">
        <f>H17/'- 3 -'!D17</f>
        <v>0.004810670975388258</v>
      </c>
      <c r="J17" s="362">
        <f>H17/'- 7 -'!F17</f>
        <v>37.698958412916696</v>
      </c>
    </row>
    <row r="18" spans="1:10" ht="13.5" customHeight="1">
      <c r="A18" s="388" t="s">
        <v>333</v>
      </c>
      <c r="B18" s="361">
        <v>995992.67</v>
      </c>
      <c r="C18" s="279">
        <f>B18/'- 3 -'!D18</f>
        <v>0.01377009877480539</v>
      </c>
      <c r="D18" s="361">
        <f>B18/'- 7 -'!F18</f>
        <v>167.98662000337325</v>
      </c>
      <c r="E18" s="361">
        <v>1205081.86</v>
      </c>
      <c r="F18" s="279">
        <f>E18/'- 3 -'!D18</f>
        <v>0.016660861815304524</v>
      </c>
      <c r="G18" s="361">
        <f>E18/'- 7 -'!F18</f>
        <v>203.25212683420477</v>
      </c>
      <c r="H18" s="361">
        <v>389355</v>
      </c>
      <c r="I18" s="279">
        <f>H18/'- 3 -'!D18</f>
        <v>0.005383028379580697</v>
      </c>
      <c r="J18" s="361">
        <f>H18/'- 7 -'!F18</f>
        <v>65.66959015010963</v>
      </c>
    </row>
    <row r="19" spans="1:10" ht="13.5" customHeight="1">
      <c r="A19" s="387" t="s">
        <v>334</v>
      </c>
      <c r="B19" s="362">
        <v>0</v>
      </c>
      <c r="C19" s="278">
        <f>B19/'- 3 -'!D19</f>
        <v>0</v>
      </c>
      <c r="D19" s="362">
        <f>B19/'- 7 -'!F19</f>
        <v>0</v>
      </c>
      <c r="E19" s="362">
        <v>272019</v>
      </c>
      <c r="F19" s="278">
        <f>E19/'- 3 -'!D19</f>
        <v>0.015385143559380357</v>
      </c>
      <c r="G19" s="362">
        <f>E19/'- 7 -'!F19</f>
        <v>92.92487958186726</v>
      </c>
      <c r="H19" s="362">
        <v>96530</v>
      </c>
      <c r="I19" s="278">
        <f>H19/'- 3 -'!D19</f>
        <v>0.005459647700296618</v>
      </c>
      <c r="J19" s="362">
        <f>H19/'- 7 -'!F19</f>
        <v>32.975779728760294</v>
      </c>
    </row>
    <row r="20" spans="1:10" ht="13.5" customHeight="1">
      <c r="A20" s="388" t="s">
        <v>335</v>
      </c>
      <c r="B20" s="361">
        <v>49439</v>
      </c>
      <c r="C20" s="279">
        <f>B20/'- 3 -'!D20</f>
        <v>0.0014785459952544413</v>
      </c>
      <c r="D20" s="361">
        <f>B20/'- 7 -'!F20</f>
        <v>8.07694821107662</v>
      </c>
      <c r="E20" s="361">
        <v>495584</v>
      </c>
      <c r="F20" s="279">
        <f>E20/'- 3 -'!D20</f>
        <v>0.014821168278326363</v>
      </c>
      <c r="G20" s="361">
        <f>E20/'- 7 -'!F20</f>
        <v>80.96454827642542</v>
      </c>
      <c r="H20" s="361">
        <v>141438</v>
      </c>
      <c r="I20" s="279">
        <f>H20/'- 3 -'!D20</f>
        <v>0.004229911375165308</v>
      </c>
      <c r="J20" s="361">
        <f>H20/'- 7 -'!F20</f>
        <v>23.107008658715895</v>
      </c>
    </row>
    <row r="21" spans="1:10" ht="13.5" customHeight="1">
      <c r="A21" s="387" t="s">
        <v>336</v>
      </c>
      <c r="B21" s="362">
        <v>0</v>
      </c>
      <c r="C21" s="278">
        <f>B21/'- 3 -'!D21</f>
        <v>0</v>
      </c>
      <c r="D21" s="362">
        <f>B21/'- 7 -'!F21</f>
        <v>0</v>
      </c>
      <c r="E21" s="362">
        <v>383951</v>
      </c>
      <c r="F21" s="278">
        <f>E21/'- 3 -'!D21</f>
        <v>0.01650452767513431</v>
      </c>
      <c r="G21" s="362">
        <f>E21/'- 7 -'!F21</f>
        <v>116.01831147640056</v>
      </c>
      <c r="H21" s="362">
        <v>265280</v>
      </c>
      <c r="I21" s="278">
        <f>H21/'- 3 -'!D21</f>
        <v>0.011403332981707641</v>
      </c>
      <c r="J21" s="362">
        <f>H21/'- 7 -'!F21</f>
        <v>80.15954553695533</v>
      </c>
    </row>
    <row r="22" spans="1:10" ht="13.5" customHeight="1">
      <c r="A22" s="388" t="s">
        <v>337</v>
      </c>
      <c r="B22" s="361">
        <v>229807</v>
      </c>
      <c r="C22" s="279">
        <f>B22/'- 3 -'!D22</f>
        <v>0.01794999072455844</v>
      </c>
      <c r="D22" s="361">
        <f>B22/'- 7 -'!F22</f>
        <v>135.98047337278106</v>
      </c>
      <c r="E22" s="361">
        <v>217668</v>
      </c>
      <c r="F22" s="279">
        <f>E22/'- 3 -'!D22</f>
        <v>0.017001825797443883</v>
      </c>
      <c r="G22" s="361">
        <f>E22/'- 7 -'!F22</f>
        <v>128.79763313609467</v>
      </c>
      <c r="H22" s="361">
        <v>72816</v>
      </c>
      <c r="I22" s="279">
        <f>H22/'- 3 -'!D22</f>
        <v>0.005687583601019322</v>
      </c>
      <c r="J22" s="361">
        <f>H22/'- 7 -'!F22</f>
        <v>43.08639053254438</v>
      </c>
    </row>
    <row r="23" spans="1:10" ht="13.5" customHeight="1">
      <c r="A23" s="387" t="s">
        <v>338</v>
      </c>
      <c r="B23" s="362">
        <v>0</v>
      </c>
      <c r="C23" s="278">
        <f>B23/'- 3 -'!D23</f>
        <v>0</v>
      </c>
      <c r="D23" s="362">
        <f>B23/'- 7 -'!F23</f>
        <v>0</v>
      </c>
      <c r="E23" s="362">
        <v>153704</v>
      </c>
      <c r="F23" s="278">
        <f>E23/'- 3 -'!D23</f>
        <v>0.014358403898957208</v>
      </c>
      <c r="G23" s="362">
        <f>E23/'- 7 -'!F23</f>
        <v>112.10269126978339</v>
      </c>
      <c r="H23" s="362">
        <v>80404</v>
      </c>
      <c r="I23" s="278">
        <f>H23/'- 3 -'!D23</f>
        <v>0.007511015374302265</v>
      </c>
      <c r="J23" s="362">
        <f>H23/'- 7 -'!F23</f>
        <v>58.64196630442711</v>
      </c>
    </row>
    <row r="24" spans="1:10" ht="13.5" customHeight="1">
      <c r="A24" s="388" t="s">
        <v>339</v>
      </c>
      <c r="B24" s="361">
        <v>234525</v>
      </c>
      <c r="C24" s="279">
        <f>B24/'- 3 -'!D24</f>
        <v>0.0070337715245678955</v>
      </c>
      <c r="D24" s="361">
        <f>B24/'- 7 -'!F24</f>
        <v>50.854348721729515</v>
      </c>
      <c r="E24" s="361">
        <v>463997</v>
      </c>
      <c r="F24" s="279">
        <f>E24/'- 3 -'!D24</f>
        <v>0.013915995676729262</v>
      </c>
      <c r="G24" s="361">
        <f>E24/'- 7 -'!F24</f>
        <v>100.61300604982978</v>
      </c>
      <c r="H24" s="361">
        <v>167147</v>
      </c>
      <c r="I24" s="279">
        <f>H24/'- 3 -'!D24</f>
        <v>0.00501299993184927</v>
      </c>
      <c r="J24" s="361">
        <f>H24/'- 7 -'!F24</f>
        <v>36.24411822104647</v>
      </c>
    </row>
    <row r="25" spans="1:10" ht="13.5" customHeight="1">
      <c r="A25" s="387" t="s">
        <v>340</v>
      </c>
      <c r="B25" s="362">
        <v>518969</v>
      </c>
      <c r="C25" s="278">
        <f>B25/'- 3 -'!D25</f>
        <v>0.005015319139518906</v>
      </c>
      <c r="D25" s="362">
        <f>B25/'- 7 -'!F25</f>
        <v>34.85539854391102</v>
      </c>
      <c r="E25" s="362">
        <v>2315047</v>
      </c>
      <c r="F25" s="278">
        <f>E25/'- 3 -'!D25</f>
        <v>0.02237262635723102</v>
      </c>
      <c r="G25" s="362">
        <f>E25/'- 7 -'!F25</f>
        <v>155.48498240335275</v>
      </c>
      <c r="H25" s="362">
        <v>1811587</v>
      </c>
      <c r="I25" s="278">
        <f>H25/'- 3 -'!D25</f>
        <v>0.017507186275102435</v>
      </c>
      <c r="J25" s="362">
        <f>H25/'- 7 -'!F25</f>
        <v>121.67121134782258</v>
      </c>
    </row>
    <row r="26" spans="1:10" ht="13.5" customHeight="1">
      <c r="A26" s="388" t="s">
        <v>341</v>
      </c>
      <c r="B26" s="361">
        <v>39425.3</v>
      </c>
      <c r="C26" s="279">
        <f>B26/'- 3 -'!D26</f>
        <v>0.0015271443267787892</v>
      </c>
      <c r="D26" s="361">
        <f>B26/'- 7 -'!F26</f>
        <v>11.768746268656717</v>
      </c>
      <c r="E26" s="361">
        <v>373431.64</v>
      </c>
      <c r="F26" s="279">
        <f>E26/'- 3 -'!D26</f>
        <v>0.014464925072623395</v>
      </c>
      <c r="G26" s="361">
        <f>E26/'- 7 -'!F26</f>
        <v>111.47213134328359</v>
      </c>
      <c r="H26" s="361">
        <v>127889.96</v>
      </c>
      <c r="I26" s="279">
        <f>H26/'- 3 -'!D26</f>
        <v>0.004953834894495825</v>
      </c>
      <c r="J26" s="361">
        <f>H26/'- 7 -'!F26</f>
        <v>38.176107462686566</v>
      </c>
    </row>
    <row r="27" spans="1:10" ht="13.5" customHeight="1">
      <c r="A27" s="387" t="s">
        <v>342</v>
      </c>
      <c r="B27" s="362">
        <v>186009</v>
      </c>
      <c r="C27" s="278">
        <f>B27/'- 3 -'!D27</f>
        <v>0.0072404266242206165</v>
      </c>
      <c r="D27" s="362">
        <f>B27/'- 7 -'!F27</f>
        <v>56.05551035168611</v>
      </c>
      <c r="E27" s="362">
        <v>668687</v>
      </c>
      <c r="F27" s="278">
        <f>E27/'- 3 -'!D27</f>
        <v>0.02602873601852712</v>
      </c>
      <c r="G27" s="362">
        <f>E27/'- 7 -'!F27</f>
        <v>201.5149323448754</v>
      </c>
      <c r="H27" s="362">
        <v>132972</v>
      </c>
      <c r="I27" s="278">
        <f>H27/'- 3 -'!D27</f>
        <v>0.005175953900487954</v>
      </c>
      <c r="J27" s="362">
        <f>H27/'- 7 -'!F27</f>
        <v>40.07232619112197</v>
      </c>
    </row>
    <row r="28" spans="1:10" ht="13.5" customHeight="1">
      <c r="A28" s="388" t="s">
        <v>343</v>
      </c>
      <c r="B28" s="361">
        <v>86266</v>
      </c>
      <c r="C28" s="279">
        <f>B28/'- 3 -'!D28</f>
        <v>0.005360495923410147</v>
      </c>
      <c r="D28" s="361">
        <f>B28/'- 7 -'!F28</f>
        <v>40.28862320194284</v>
      </c>
      <c r="E28" s="361">
        <v>195998</v>
      </c>
      <c r="F28" s="279">
        <f>E28/'- 3 -'!D28</f>
        <v>0.012179149143307236</v>
      </c>
      <c r="G28" s="361">
        <f>E28/'- 7 -'!F28</f>
        <v>91.53652157668598</v>
      </c>
      <c r="H28" s="361">
        <v>79802</v>
      </c>
      <c r="I28" s="279">
        <f>H28/'- 3 -'!D28</f>
        <v>0.004958828457097542</v>
      </c>
      <c r="J28" s="361">
        <f>H28/'- 7 -'!F28</f>
        <v>37.26975527741454</v>
      </c>
    </row>
    <row r="29" spans="1:10" ht="13.5" customHeight="1">
      <c r="A29" s="387" t="s">
        <v>344</v>
      </c>
      <c r="B29" s="362">
        <v>379886</v>
      </c>
      <c r="C29" s="278">
        <f>B29/'- 3 -'!D29</f>
        <v>0.003892443329177518</v>
      </c>
      <c r="D29" s="362">
        <f>B29/'- 7 -'!F29</f>
        <v>29.04793583067618</v>
      </c>
      <c r="E29" s="362">
        <v>2565641</v>
      </c>
      <c r="F29" s="278">
        <f>E29/'- 3 -'!D29</f>
        <v>0.02628844494273107</v>
      </c>
      <c r="G29" s="362">
        <f>E29/'- 7 -'!F29</f>
        <v>196.1814205644637</v>
      </c>
      <c r="H29" s="362">
        <v>875222</v>
      </c>
      <c r="I29" s="278">
        <f>H29/'- 3 -'!D29</f>
        <v>0.008967827283578245</v>
      </c>
      <c r="J29" s="362">
        <f>H29/'- 7 -'!F29</f>
        <v>66.92374157930554</v>
      </c>
    </row>
    <row r="30" spans="1:10" ht="13.5" customHeight="1">
      <c r="A30" s="388" t="s">
        <v>345</v>
      </c>
      <c r="B30" s="361">
        <v>0</v>
      </c>
      <c r="C30" s="279">
        <f>B30/'- 3 -'!D30</f>
        <v>0</v>
      </c>
      <c r="D30" s="361">
        <f>B30/'- 7 -'!F30</f>
        <v>0</v>
      </c>
      <c r="E30" s="361">
        <v>227955</v>
      </c>
      <c r="F30" s="279">
        <f>E30/'- 3 -'!D30</f>
        <v>0.023659183215104015</v>
      </c>
      <c r="G30" s="361">
        <f>E30/'- 7 -'!F30</f>
        <v>177.72883205987839</v>
      </c>
      <c r="H30" s="361">
        <v>86625</v>
      </c>
      <c r="I30" s="279">
        <f>H30/'- 3 -'!D30</f>
        <v>0.008990707578286877</v>
      </c>
      <c r="J30" s="361">
        <f>H30/'- 7 -'!F30</f>
        <v>67.53859348198971</v>
      </c>
    </row>
    <row r="31" spans="1:10" ht="13.5" customHeight="1">
      <c r="A31" s="387" t="s">
        <v>346</v>
      </c>
      <c r="B31" s="362">
        <v>41322</v>
      </c>
      <c r="C31" s="278">
        <f>B31/'- 3 -'!D31</f>
        <v>0.0016938621130161264</v>
      </c>
      <c r="D31" s="362">
        <f>B31/'- 7 -'!F31</f>
        <v>12.278845868124684</v>
      </c>
      <c r="E31" s="362">
        <v>404226</v>
      </c>
      <c r="F31" s="278">
        <f>E31/'- 3 -'!D31</f>
        <v>0.016569941108756998</v>
      </c>
      <c r="G31" s="362">
        <f>E31/'- 7 -'!F31</f>
        <v>120.11588862805692</v>
      </c>
      <c r="H31" s="362">
        <v>121457</v>
      </c>
      <c r="I31" s="278">
        <f>H31/'- 3 -'!D31</f>
        <v>0.004978737976395133</v>
      </c>
      <c r="J31" s="362">
        <f>H31/'- 7 -'!F31</f>
        <v>36.09098743054111</v>
      </c>
    </row>
    <row r="32" spans="1:10" ht="13.5" customHeight="1">
      <c r="A32" s="388" t="s">
        <v>347</v>
      </c>
      <c r="B32" s="361">
        <v>19039</v>
      </c>
      <c r="C32" s="279">
        <f>B32/'- 3 -'!D32</f>
        <v>0.001047369095091586</v>
      </c>
      <c r="D32" s="361">
        <f>B32/'- 7 -'!F32</f>
        <v>8.101702127659575</v>
      </c>
      <c r="E32" s="361">
        <v>227409</v>
      </c>
      <c r="F32" s="279">
        <f>E32/'- 3 -'!D32</f>
        <v>0.012510171676331868</v>
      </c>
      <c r="G32" s="361">
        <f>E32/'- 7 -'!F32</f>
        <v>96.76978723404255</v>
      </c>
      <c r="H32" s="361">
        <v>106226</v>
      </c>
      <c r="I32" s="279">
        <f>H32/'- 3 -'!D32</f>
        <v>0.005843680313839949</v>
      </c>
      <c r="J32" s="361">
        <f>H32/'- 7 -'!F32</f>
        <v>45.202553191489365</v>
      </c>
    </row>
    <row r="33" spans="1:10" ht="13.5" customHeight="1">
      <c r="A33" s="387" t="s">
        <v>348</v>
      </c>
      <c r="B33" s="362">
        <v>52842</v>
      </c>
      <c r="C33" s="278">
        <f>B33/'- 3 -'!D33</f>
        <v>0.0024377109763839312</v>
      </c>
      <c r="D33" s="362">
        <f>B33/'- 7 -'!F33</f>
        <v>21.195299025309858</v>
      </c>
      <c r="E33" s="362">
        <v>280727</v>
      </c>
      <c r="F33" s="278">
        <f>E33/'- 3 -'!D33</f>
        <v>0.01295051832382067</v>
      </c>
      <c r="G33" s="362">
        <f>E33/'- 7 -'!F33</f>
        <v>112.60158036179857</v>
      </c>
      <c r="H33" s="362">
        <v>111394</v>
      </c>
      <c r="I33" s="278">
        <f>H33/'- 3 -'!D33</f>
        <v>0.005138836086887544</v>
      </c>
      <c r="J33" s="362">
        <f>H33/'- 7 -'!F33</f>
        <v>44.680919337371144</v>
      </c>
    </row>
    <row r="34" spans="1:10" ht="13.5" customHeight="1">
      <c r="A34" s="388" t="s">
        <v>349</v>
      </c>
      <c r="B34" s="361">
        <v>0</v>
      </c>
      <c r="C34" s="279">
        <f>B34/'- 3 -'!D34</f>
        <v>0</v>
      </c>
      <c r="D34" s="361">
        <f>B34/'- 7 -'!F34</f>
        <v>0</v>
      </c>
      <c r="E34" s="361">
        <v>201777</v>
      </c>
      <c r="F34" s="279">
        <f>E34/'- 3 -'!D34</f>
        <v>0.012279321869169005</v>
      </c>
      <c r="G34" s="361">
        <f>E34/'- 7 -'!F34</f>
        <v>91.21925858951175</v>
      </c>
      <c r="H34" s="361">
        <v>93235</v>
      </c>
      <c r="I34" s="279">
        <f>H34/'- 3 -'!D34</f>
        <v>0.005673900268474465</v>
      </c>
      <c r="J34" s="361">
        <f>H34/'- 7 -'!F34</f>
        <v>42.149638336347195</v>
      </c>
    </row>
    <row r="35" spans="1:10" ht="13.5" customHeight="1">
      <c r="A35" s="387" t="s">
        <v>350</v>
      </c>
      <c r="B35" s="362">
        <v>903205</v>
      </c>
      <c r="C35" s="278">
        <f>B35/'- 3 -'!D35</f>
        <v>0.007380683177323699</v>
      </c>
      <c r="D35" s="362">
        <f>B35/'- 7 -'!F35</f>
        <v>50.69144726872716</v>
      </c>
      <c r="E35" s="362">
        <v>3377544</v>
      </c>
      <c r="F35" s="278">
        <f>E35/'- 3 -'!D35</f>
        <v>0.027600137489795333</v>
      </c>
      <c r="G35" s="362">
        <f>E35/'- 7 -'!F35</f>
        <v>189.56116670501802</v>
      </c>
      <c r="H35" s="362">
        <v>1013354</v>
      </c>
      <c r="I35" s="278">
        <f>H35/'- 3 -'!D35</f>
        <v>0.008280783233566775</v>
      </c>
      <c r="J35" s="362">
        <f>H35/'- 7 -'!F35</f>
        <v>56.87344606767428</v>
      </c>
    </row>
    <row r="36" spans="1:10" ht="13.5" customHeight="1">
      <c r="A36" s="388" t="s">
        <v>351</v>
      </c>
      <c r="B36" s="361">
        <v>46682</v>
      </c>
      <c r="C36" s="279">
        <f>B36/'- 3 -'!D36</f>
        <v>0.0029319668993360334</v>
      </c>
      <c r="D36" s="361">
        <f>B36/'- 7 -'!F36</f>
        <v>21.97834274952919</v>
      </c>
      <c r="E36" s="361">
        <v>209335</v>
      </c>
      <c r="F36" s="279">
        <f>E36/'- 3 -'!D36</f>
        <v>0.013147750543518027</v>
      </c>
      <c r="G36" s="361">
        <f>E36/'- 7 -'!F36</f>
        <v>98.55696798493409</v>
      </c>
      <c r="H36" s="361">
        <v>92825</v>
      </c>
      <c r="I36" s="279">
        <f>H36/'- 3 -'!D36</f>
        <v>0.005830080704144367</v>
      </c>
      <c r="J36" s="361">
        <f>H36/'- 7 -'!F36</f>
        <v>43.70291902071563</v>
      </c>
    </row>
    <row r="37" spans="1:10" ht="13.5" customHeight="1">
      <c r="A37" s="387" t="s">
        <v>352</v>
      </c>
      <c r="B37" s="362">
        <v>52449</v>
      </c>
      <c r="C37" s="278">
        <f>B37/'- 3 -'!D37</f>
        <v>0.0022423561665692393</v>
      </c>
      <c r="D37" s="362">
        <f>B37/'- 7 -'!F37</f>
        <v>15.516996538563948</v>
      </c>
      <c r="E37" s="362">
        <v>316567</v>
      </c>
      <c r="F37" s="278">
        <f>E37/'- 3 -'!D37</f>
        <v>0.01353421351374334</v>
      </c>
      <c r="G37" s="362">
        <f>E37/'- 7 -'!F37</f>
        <v>93.65610484896897</v>
      </c>
      <c r="H37" s="362">
        <v>206435</v>
      </c>
      <c r="I37" s="278">
        <f>H37/'- 3 -'!D37</f>
        <v>0.008825731572493679</v>
      </c>
      <c r="J37" s="362">
        <f>H37/'- 7 -'!F37</f>
        <v>61.07363687464868</v>
      </c>
    </row>
    <row r="38" spans="1:10" ht="13.5" customHeight="1">
      <c r="A38" s="388" t="s">
        <v>353</v>
      </c>
      <c r="B38" s="361">
        <v>138578</v>
      </c>
      <c r="C38" s="279">
        <f>B38/'- 3 -'!D38</f>
        <v>0.0022518154068195844</v>
      </c>
      <c r="D38" s="361">
        <f>B38/'- 7 -'!F38</f>
        <v>16.258344576758375</v>
      </c>
      <c r="E38" s="361">
        <v>1085068</v>
      </c>
      <c r="F38" s="279">
        <f>E38/'- 3 -'!D38</f>
        <v>0.017631751359140073</v>
      </c>
      <c r="G38" s="361">
        <f>E38/'- 7 -'!F38</f>
        <v>127.3031031853112</v>
      </c>
      <c r="H38" s="361">
        <v>458038</v>
      </c>
      <c r="I38" s="279">
        <f>H38/'- 3 -'!D38</f>
        <v>0.0074428626860600445</v>
      </c>
      <c r="J38" s="361">
        <f>H38/'- 7 -'!F38</f>
        <v>53.73825306505543</v>
      </c>
    </row>
    <row r="39" spans="1:10" ht="13.5" customHeight="1">
      <c r="A39" s="387" t="s">
        <v>354</v>
      </c>
      <c r="B39" s="362">
        <v>6868</v>
      </c>
      <c r="C39" s="278">
        <f>B39/'- 3 -'!D39</f>
        <v>0.0004678058962202031</v>
      </c>
      <c r="D39" s="362">
        <f>B39/'- 7 -'!F39</f>
        <v>3.79657269209508</v>
      </c>
      <c r="E39" s="362">
        <v>172823</v>
      </c>
      <c r="F39" s="278">
        <f>E39/'- 3 -'!D39</f>
        <v>0.011771639254872476</v>
      </c>
      <c r="G39" s="362">
        <f>E39/'- 7 -'!F39</f>
        <v>95.53510226644555</v>
      </c>
      <c r="H39" s="362">
        <v>74346</v>
      </c>
      <c r="I39" s="278">
        <f>H39/'- 3 -'!D39</f>
        <v>0.005063992015199071</v>
      </c>
      <c r="J39" s="362">
        <f>H39/'- 7 -'!F39</f>
        <v>41.09784411276949</v>
      </c>
    </row>
    <row r="40" spans="1:10" ht="13.5" customHeight="1">
      <c r="A40" s="388" t="s">
        <v>355</v>
      </c>
      <c r="B40" s="361">
        <v>381004</v>
      </c>
      <c r="C40" s="279">
        <f>B40/'- 3 -'!D40</f>
        <v>0.006138180660097529</v>
      </c>
      <c r="D40" s="361">
        <f>B40/'- 7 -'!F40</f>
        <v>41.779732108099815</v>
      </c>
      <c r="E40" s="361">
        <v>825658</v>
      </c>
      <c r="F40" s="279">
        <f>E40/'- 3 -'!D40</f>
        <v>0.013301797271038638</v>
      </c>
      <c r="G40" s="361">
        <f>E40/'- 7 -'!F40</f>
        <v>90.53912833699772</v>
      </c>
      <c r="H40" s="361">
        <v>660887</v>
      </c>
      <c r="I40" s="279">
        <f>H40/'- 3 -'!D40</f>
        <v>0.010647247278007253</v>
      </c>
      <c r="J40" s="361">
        <f>H40/'- 7 -'!F40</f>
        <v>72.47084496153784</v>
      </c>
    </row>
    <row r="41" spans="1:10" ht="13.5" customHeight="1">
      <c r="A41" s="387" t="s">
        <v>356</v>
      </c>
      <c r="B41" s="362">
        <v>243988</v>
      </c>
      <c r="C41" s="278">
        <f>B41/'- 3 -'!D41</f>
        <v>0.00649622208800178</v>
      </c>
      <c r="D41" s="362">
        <f>B41/'- 7 -'!F41</f>
        <v>49.63342690915009</v>
      </c>
      <c r="E41" s="362">
        <v>400386</v>
      </c>
      <c r="F41" s="278">
        <f>E41/'- 3 -'!D41</f>
        <v>0.010660345496199323</v>
      </c>
      <c r="G41" s="362">
        <f>E41/'- 7 -'!F41</f>
        <v>81.44879775418039</v>
      </c>
      <c r="H41" s="362">
        <v>134771</v>
      </c>
      <c r="I41" s="278">
        <f>H41/'- 3 -'!D41</f>
        <v>0.003588300846853484</v>
      </c>
      <c r="J41" s="362">
        <f>H41/'- 7 -'!F41</f>
        <v>27.415883477765572</v>
      </c>
    </row>
    <row r="42" spans="1:10" ht="13.5" customHeight="1">
      <c r="A42" s="388" t="s">
        <v>357</v>
      </c>
      <c r="B42" s="361">
        <v>50102</v>
      </c>
      <c r="C42" s="279">
        <f>B42/'- 3 -'!D42</f>
        <v>0.0034457933013701193</v>
      </c>
      <c r="D42" s="361">
        <f>B42/'- 7 -'!F42</f>
        <v>26.64574801893315</v>
      </c>
      <c r="E42" s="361">
        <v>229112</v>
      </c>
      <c r="F42" s="279">
        <f>E42/'- 3 -'!D42</f>
        <v>0.01575730699100856</v>
      </c>
      <c r="G42" s="361">
        <f>E42/'- 7 -'!F42</f>
        <v>121.8486411742807</v>
      </c>
      <c r="H42" s="361">
        <v>77737</v>
      </c>
      <c r="I42" s="279">
        <f>H42/'- 3 -'!D42</f>
        <v>0.005346406009113587</v>
      </c>
      <c r="J42" s="361">
        <f>H42/'- 7 -'!F42</f>
        <v>41.34287081848641</v>
      </c>
    </row>
    <row r="43" spans="1:10" ht="13.5" customHeight="1">
      <c r="A43" s="387" t="s">
        <v>358</v>
      </c>
      <c r="B43" s="362">
        <v>8907</v>
      </c>
      <c r="C43" s="278">
        <f>B43/'- 3 -'!D43</f>
        <v>0.000977228609505833</v>
      </c>
      <c r="D43" s="362">
        <f>B43/'- 7 -'!F43</f>
        <v>7.306808859721083</v>
      </c>
      <c r="E43" s="362">
        <v>131228</v>
      </c>
      <c r="F43" s="278">
        <f>E43/'- 3 -'!D43</f>
        <v>0.01439763736030442</v>
      </c>
      <c r="G43" s="362">
        <f>E43/'- 7 -'!F43</f>
        <v>107.65217391304348</v>
      </c>
      <c r="H43" s="362">
        <v>63027</v>
      </c>
      <c r="I43" s="278">
        <f>H43/'- 3 -'!D43</f>
        <v>0.006914986816136088</v>
      </c>
      <c r="J43" s="362">
        <f>H43/'- 7 -'!F43</f>
        <v>51.703855619360134</v>
      </c>
    </row>
    <row r="44" spans="1:10" ht="13.5" customHeight="1">
      <c r="A44" s="388" t="s">
        <v>359</v>
      </c>
      <c r="B44" s="361">
        <v>0</v>
      </c>
      <c r="C44" s="279">
        <f>B44/'- 3 -'!D44</f>
        <v>0</v>
      </c>
      <c r="D44" s="361">
        <f>B44/'- 7 -'!F44</f>
        <v>0</v>
      </c>
      <c r="E44" s="361">
        <v>77786</v>
      </c>
      <c r="F44" s="279">
        <f>E44/'- 3 -'!D44</f>
        <v>0.011884277842932896</v>
      </c>
      <c r="G44" s="361">
        <f>E44/'- 7 -'!F44</f>
        <v>95.034819792303</v>
      </c>
      <c r="H44" s="361">
        <v>28057</v>
      </c>
      <c r="I44" s="279">
        <f>H44/'- 3 -'!D44</f>
        <v>0.0042865963468897775</v>
      </c>
      <c r="J44" s="361">
        <f>H44/'- 7 -'!F44</f>
        <v>34.27855833842395</v>
      </c>
    </row>
    <row r="45" spans="1:10" ht="13.5" customHeight="1">
      <c r="A45" s="387" t="s">
        <v>360</v>
      </c>
      <c r="B45" s="362">
        <v>19748</v>
      </c>
      <c r="C45" s="278">
        <f>B45/'- 3 -'!D45</f>
        <v>0.001997006714667098</v>
      </c>
      <c r="D45" s="362">
        <f>B45/'- 7 -'!F45</f>
        <v>13.544581618655693</v>
      </c>
      <c r="E45" s="362">
        <v>168473</v>
      </c>
      <c r="F45" s="278">
        <f>E45/'- 3 -'!D45</f>
        <v>0.01703674864493164</v>
      </c>
      <c r="G45" s="362">
        <f>E45/'- 7 -'!F45</f>
        <v>115.55075445816186</v>
      </c>
      <c r="H45" s="362">
        <v>62931</v>
      </c>
      <c r="I45" s="278">
        <f>H45/'- 3 -'!D45</f>
        <v>0.006363866192055659</v>
      </c>
      <c r="J45" s="362">
        <f>H45/'- 7 -'!F45</f>
        <v>43.16255144032922</v>
      </c>
    </row>
    <row r="46" spans="1:10" ht="13.5" customHeight="1">
      <c r="A46" s="388" t="s">
        <v>361</v>
      </c>
      <c r="B46" s="361">
        <v>467658</v>
      </c>
      <c r="C46" s="279">
        <f>B46/'- 3 -'!D46</f>
        <v>0.0018663877297847564</v>
      </c>
      <c r="D46" s="361">
        <f>B46/'- 7 -'!F46</f>
        <v>15.172371281186127</v>
      </c>
      <c r="E46" s="361">
        <v>3576201</v>
      </c>
      <c r="F46" s="279">
        <f>E46/'- 3 -'!D46</f>
        <v>0.01427234788166561</v>
      </c>
      <c r="G46" s="361">
        <f>E46/'- 7 -'!F46</f>
        <v>116.02378094280245</v>
      </c>
      <c r="H46" s="361">
        <v>2169457</v>
      </c>
      <c r="I46" s="279">
        <f>H46/'- 3 -'!D46</f>
        <v>0.00865813890726909</v>
      </c>
      <c r="J46" s="361">
        <f>H46/'- 7 -'!F46</f>
        <v>70.3843558381728</v>
      </c>
    </row>
    <row r="47" spans="1:10" ht="13.5" customHeight="1">
      <c r="A47" s="387" t="s">
        <v>365</v>
      </c>
      <c r="B47" s="362">
        <v>70643</v>
      </c>
      <c r="C47" s="278">
        <f>B47/'- 3 -'!D47</f>
        <v>0.012700456524627394</v>
      </c>
      <c r="D47" s="362">
        <f>B47/'- 7 -'!F47</f>
        <v>114.53516650993872</v>
      </c>
      <c r="E47" s="362">
        <v>43978</v>
      </c>
      <c r="F47" s="278">
        <f>E47/'- 3 -'!D47</f>
        <v>0.007906525445409504</v>
      </c>
      <c r="G47" s="362">
        <f>E47/'- 7 -'!F47</f>
        <v>71.30257141930673</v>
      </c>
      <c r="H47" s="362">
        <v>100095</v>
      </c>
      <c r="I47" s="278">
        <f>H47/'- 3 -'!D47</f>
        <v>0.017995444641826917</v>
      </c>
      <c r="J47" s="362">
        <f>H47/'- 7 -'!F47</f>
        <v>162.28639060929345</v>
      </c>
    </row>
    <row r="48" spans="1:10" ht="4.5" customHeight="1">
      <c r="A48" s="389"/>
      <c r="B48" s="322"/>
      <c r="C48" s="162"/>
      <c r="D48" s="322"/>
      <c r="E48" s="322"/>
      <c r="F48" s="162"/>
      <c r="G48" s="322"/>
      <c r="H48" s="322"/>
      <c r="I48" s="162"/>
      <c r="J48" s="322"/>
    </row>
    <row r="49" spans="1:10" ht="13.5" customHeight="1">
      <c r="A49" s="383" t="s">
        <v>362</v>
      </c>
      <c r="B49" s="363">
        <f>SUM(B11:B47)</f>
        <v>6339375.97</v>
      </c>
      <c r="C49" s="81">
        <f>B49/'- 3 -'!D49</f>
        <v>0.004704554157196248</v>
      </c>
      <c r="D49" s="363">
        <f>B49/'- 7 -'!F49</f>
        <v>35.38496051425549</v>
      </c>
      <c r="E49" s="363">
        <f>SUM(E11:E47)</f>
        <v>24022582.5</v>
      </c>
      <c r="F49" s="81">
        <f>E49/'- 3 -'!D49</f>
        <v>0.01782754973072923</v>
      </c>
      <c r="G49" s="363">
        <f>E49/'- 7 -'!F49</f>
        <v>134.08861333285853</v>
      </c>
      <c r="H49" s="363">
        <f>SUM(H11:H47)</f>
        <v>10875819.96</v>
      </c>
      <c r="I49" s="81">
        <f>H49/'- 3 -'!D49</f>
        <v>0.008071123127555398</v>
      </c>
      <c r="J49" s="363">
        <f>H49/'- 7 -'!F49</f>
        <v>60.70636316033986</v>
      </c>
    </row>
    <row r="50" spans="1:10" ht="4.5" customHeight="1">
      <c r="A50" s="389" t="s">
        <v>15</v>
      </c>
      <c r="B50" s="322"/>
      <c r="C50" s="162"/>
      <c r="D50" s="9"/>
      <c r="E50" s="322"/>
      <c r="F50" s="162"/>
      <c r="G50" s="322"/>
      <c r="H50" s="322"/>
      <c r="I50" s="162"/>
      <c r="J50" s="322"/>
    </row>
    <row r="51" spans="1:10" ht="13.5" customHeight="1">
      <c r="A51" s="388" t="s">
        <v>363</v>
      </c>
      <c r="B51" s="361">
        <v>0</v>
      </c>
      <c r="C51" s="279">
        <f>B51/'- 3 -'!D51</f>
        <v>0</v>
      </c>
      <c r="D51" s="8">
        <f>B51/'- 7 -'!F51</f>
        <v>0</v>
      </c>
      <c r="E51" s="361">
        <v>11965</v>
      </c>
      <c r="F51" s="279">
        <f>E51/'- 3 -'!D51</f>
        <v>0.009470596429905713</v>
      </c>
      <c r="G51" s="361">
        <f>E51/'- 7 -'!F51</f>
        <v>78.20261437908496</v>
      </c>
      <c r="H51" s="361">
        <v>368</v>
      </c>
      <c r="I51" s="279">
        <f>H51/'- 3 -'!D51</f>
        <v>0.0002912811939996074</v>
      </c>
      <c r="J51" s="361">
        <f>H51/'- 7 -'!F51</f>
        <v>2.4052287581699345</v>
      </c>
    </row>
    <row r="52" spans="1:10" ht="13.5" customHeight="1">
      <c r="A52" s="387" t="s">
        <v>364</v>
      </c>
      <c r="B52" s="362">
        <v>10806</v>
      </c>
      <c r="C52" s="278">
        <f>B52/'- 3 -'!D52</f>
        <v>0.004531655538822902</v>
      </c>
      <c r="D52" s="7">
        <f>B52/'- 7 -'!F52</f>
        <v>39.582417582417584</v>
      </c>
      <c r="E52" s="362">
        <v>21163</v>
      </c>
      <c r="F52" s="278">
        <f>E52/'- 3 -'!D52</f>
        <v>0.008875016302804838</v>
      </c>
      <c r="G52" s="362">
        <f>E52/'- 7 -'!F52</f>
        <v>77.52014652014653</v>
      </c>
      <c r="H52" s="362">
        <v>8208</v>
      </c>
      <c r="I52" s="278">
        <f>H52/'- 3 -'!D52</f>
        <v>0.0034421459062241697</v>
      </c>
      <c r="J52" s="362">
        <f>H52/'- 7 -'!F52</f>
        <v>30.065934065934066</v>
      </c>
    </row>
    <row r="53" spans="1:10" ht="49.5" customHeight="1">
      <c r="A53" s="522"/>
      <c r="B53" s="522"/>
      <c r="C53" s="522"/>
      <c r="D53" s="522"/>
      <c r="E53" s="522"/>
      <c r="F53" s="522"/>
      <c r="G53" s="522"/>
      <c r="H53" s="522"/>
      <c r="I53" s="522"/>
      <c r="J53" s="522"/>
    </row>
    <row r="54" spans="1:10" ht="12" customHeight="1">
      <c r="A54" s="446"/>
      <c r="B54" s="522"/>
      <c r="C54" s="522"/>
      <c r="D54" s="522"/>
      <c r="E54" s="522"/>
      <c r="F54" s="522"/>
      <c r="G54" s="522"/>
      <c r="H54" s="522"/>
      <c r="I54" s="522"/>
      <c r="J54" s="522"/>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9"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8"/>
  <sheetViews>
    <sheetView showGridLines="0" showZeros="0" workbookViewId="0" topLeftCell="A1">
      <selection activeCell="A1" sqref="A1"/>
    </sheetView>
  </sheetViews>
  <sheetFormatPr defaultColWidth="15.83203125" defaultRowHeight="12"/>
  <cols>
    <col min="1" max="1" width="32.83203125" style="67" customWidth="1"/>
    <col min="2" max="2" width="16.83203125" style="67" customWidth="1"/>
    <col min="3" max="3" width="7.83203125" style="67" customWidth="1"/>
    <col min="4" max="4" width="9.83203125" style="67" customWidth="1"/>
    <col min="5" max="5" width="15.83203125" style="67" customWidth="1"/>
    <col min="6" max="6" width="7.83203125" style="67" customWidth="1"/>
    <col min="7" max="7" width="9.83203125" style="67" customWidth="1"/>
    <col min="8" max="8" width="16.83203125" style="67" customWidth="1"/>
    <col min="9" max="9" width="7.83203125" style="67" customWidth="1"/>
    <col min="10" max="10" width="9.83203125" style="67" customWidth="1"/>
    <col min="11" max="16384" width="15.83203125" style="67" customWidth="1"/>
  </cols>
  <sheetData>
    <row r="1" spans="1:10" ht="6.75" customHeight="1">
      <c r="A1" s="65"/>
      <c r="B1" s="116"/>
      <c r="C1" s="116"/>
      <c r="D1" s="116"/>
      <c r="E1" s="116"/>
      <c r="F1" s="116"/>
      <c r="G1" s="116"/>
      <c r="H1" s="116"/>
      <c r="I1" s="116"/>
      <c r="J1" s="116"/>
    </row>
    <row r="2" spans="1:10" ht="15.75" customHeight="1">
      <c r="A2" s="333"/>
      <c r="B2" s="360" t="s">
        <v>12</v>
      </c>
      <c r="C2" s="164"/>
      <c r="D2" s="164"/>
      <c r="E2" s="164"/>
      <c r="F2" s="164"/>
      <c r="G2" s="164"/>
      <c r="H2" s="178"/>
      <c r="I2" s="193"/>
      <c r="J2" s="336" t="s">
        <v>299</v>
      </c>
    </row>
    <row r="3" spans="1:10" ht="15.75" customHeight="1">
      <c r="A3" s="334"/>
      <c r="B3" s="456" t="str">
        <f>OPYEAR</f>
        <v>OPERATING FUND 2002/2003 ACTUAL</v>
      </c>
      <c r="C3" s="167"/>
      <c r="D3" s="167"/>
      <c r="E3" s="167"/>
      <c r="F3" s="167"/>
      <c r="G3" s="167"/>
      <c r="H3" s="179"/>
      <c r="I3" s="179"/>
      <c r="J3" s="182"/>
    </row>
    <row r="4" spans="2:10" ht="15.75" customHeight="1">
      <c r="B4" s="116"/>
      <c r="C4" s="116"/>
      <c r="D4" s="116"/>
      <c r="E4" s="116"/>
      <c r="F4" s="116"/>
      <c r="G4" s="116"/>
      <c r="H4" s="116"/>
      <c r="I4" s="116"/>
      <c r="J4" s="116"/>
    </row>
    <row r="5" spans="2:10" ht="15.75" customHeight="1">
      <c r="B5" s="269" t="s">
        <v>230</v>
      </c>
      <c r="C5" s="127"/>
      <c r="D5" s="194"/>
      <c r="E5" s="194"/>
      <c r="F5" s="194"/>
      <c r="G5" s="194"/>
      <c r="H5" s="271"/>
      <c r="I5" s="271"/>
      <c r="J5" s="272"/>
    </row>
    <row r="6" spans="2:10" ht="15.75" customHeight="1">
      <c r="B6" s="53" t="s">
        <v>36</v>
      </c>
      <c r="C6" s="51"/>
      <c r="D6" s="52"/>
      <c r="E6" s="53" t="s">
        <v>37</v>
      </c>
      <c r="F6" s="51"/>
      <c r="G6" s="52"/>
      <c r="H6" s="24" t="s">
        <v>15</v>
      </c>
      <c r="I6" s="25"/>
      <c r="J6" s="26"/>
    </row>
    <row r="7" spans="2:10" ht="15.75" customHeight="1">
      <c r="B7" s="54" t="s">
        <v>66</v>
      </c>
      <c r="C7" s="55"/>
      <c r="D7" s="56"/>
      <c r="E7" s="54" t="s">
        <v>67</v>
      </c>
      <c r="F7" s="55"/>
      <c r="G7" s="56"/>
      <c r="H7" s="29" t="s">
        <v>68</v>
      </c>
      <c r="I7" s="30"/>
      <c r="J7" s="31"/>
    </row>
    <row r="8" spans="1:10" ht="15.75" customHeight="1">
      <c r="A8" s="313"/>
      <c r="B8" s="58"/>
      <c r="C8" s="190"/>
      <c r="D8" s="191" t="s">
        <v>87</v>
      </c>
      <c r="E8" s="58"/>
      <c r="F8" s="59"/>
      <c r="G8" s="191" t="s">
        <v>87</v>
      </c>
      <c r="H8" s="36"/>
      <c r="I8" s="37"/>
      <c r="J8" s="38" t="s">
        <v>87</v>
      </c>
    </row>
    <row r="9" spans="1:10" ht="15.75" customHeight="1">
      <c r="A9" s="314" t="s">
        <v>112</v>
      </c>
      <c r="B9" s="60" t="s">
        <v>113</v>
      </c>
      <c r="C9" s="61" t="s">
        <v>114</v>
      </c>
      <c r="D9" s="61" t="s">
        <v>115</v>
      </c>
      <c r="E9" s="61" t="s">
        <v>113</v>
      </c>
      <c r="F9" s="61" t="s">
        <v>114</v>
      </c>
      <c r="G9" s="61" t="s">
        <v>115</v>
      </c>
      <c r="H9" s="41" t="s">
        <v>113</v>
      </c>
      <c r="I9" s="41" t="s">
        <v>114</v>
      </c>
      <c r="J9" s="41" t="s">
        <v>115</v>
      </c>
    </row>
    <row r="10" spans="1:10" ht="4.5" customHeight="1">
      <c r="A10" s="62"/>
      <c r="H10" s="74"/>
      <c r="I10" s="74"/>
      <c r="J10" s="74"/>
    </row>
    <row r="11" spans="1:10" ht="13.5" customHeight="1">
      <c r="A11" s="387" t="s">
        <v>327</v>
      </c>
      <c r="B11" s="362">
        <v>138300</v>
      </c>
      <c r="C11" s="278">
        <f>B11/'- 3 -'!D11</f>
        <v>0.012379505652664886</v>
      </c>
      <c r="D11" s="362">
        <f>B11/'- 7 -'!F11</f>
        <v>85.23882896764253</v>
      </c>
      <c r="E11" s="362">
        <v>0</v>
      </c>
      <c r="F11" s="278">
        <f>E11/'- 3 -'!D11</f>
        <v>0</v>
      </c>
      <c r="G11" s="362">
        <f>E11/'- 7 -'!F11</f>
        <v>0</v>
      </c>
      <c r="H11" s="362">
        <v>0</v>
      </c>
      <c r="I11" s="278">
        <f>H11/'- 3 -'!D11</f>
        <v>0</v>
      </c>
      <c r="J11" s="362">
        <f>H11/'- 7 -'!F11</f>
        <v>0</v>
      </c>
    </row>
    <row r="12" spans="1:10" ht="13.5" customHeight="1">
      <c r="A12" s="388" t="s">
        <v>328</v>
      </c>
      <c r="B12" s="361">
        <v>188761</v>
      </c>
      <c r="C12" s="279">
        <f>B12/'- 3 -'!D12</f>
        <v>0.010283033607408103</v>
      </c>
      <c r="D12" s="361">
        <f>B12/'- 7 -'!F12</f>
        <v>80.32724796799863</v>
      </c>
      <c r="E12" s="361">
        <v>0</v>
      </c>
      <c r="F12" s="279">
        <f>E12/'- 3 -'!D12</f>
        <v>0</v>
      </c>
      <c r="G12" s="361">
        <f>E12/'- 7 -'!F12</f>
        <v>0</v>
      </c>
      <c r="H12" s="361">
        <v>33221</v>
      </c>
      <c r="I12" s="279">
        <f>H12/'- 3 -'!D12</f>
        <v>0.0018097629249246646</v>
      </c>
      <c r="J12" s="361">
        <f>H12/'- 7 -'!F12</f>
        <v>14.137197327545852</v>
      </c>
    </row>
    <row r="13" spans="1:10" ht="13.5" customHeight="1">
      <c r="A13" s="387" t="s">
        <v>329</v>
      </c>
      <c r="B13" s="362">
        <v>1191810</v>
      </c>
      <c r="C13" s="278">
        <f>B13/'- 3 -'!D13</f>
        <v>0.025612655906977196</v>
      </c>
      <c r="D13" s="362">
        <f>B13/'- 7 -'!F13</f>
        <v>163.41834635952284</v>
      </c>
      <c r="E13" s="362">
        <v>15491</v>
      </c>
      <c r="F13" s="278">
        <f>E13/'- 3 -'!D13</f>
        <v>0.0003329101556917493</v>
      </c>
      <c r="G13" s="362">
        <f>E13/'- 7 -'!F13</f>
        <v>2.1240915946798298</v>
      </c>
      <c r="H13" s="362">
        <v>12786</v>
      </c>
      <c r="I13" s="278">
        <f>H13/'- 3 -'!D13</f>
        <v>0.00027477820997190026</v>
      </c>
      <c r="J13" s="362">
        <f>H13/'- 7 -'!F13</f>
        <v>1.7531879884821062</v>
      </c>
    </row>
    <row r="14" spans="1:10" ht="13.5" customHeight="1">
      <c r="A14" s="388" t="s">
        <v>366</v>
      </c>
      <c r="B14" s="361">
        <v>747370</v>
      </c>
      <c r="C14" s="279">
        <f>B14/'- 3 -'!D14</f>
        <v>0.0189297556803451</v>
      </c>
      <c r="D14" s="361">
        <f>B14/'- 7 -'!F14</f>
        <v>174.65180407552813</v>
      </c>
      <c r="E14" s="361">
        <v>0</v>
      </c>
      <c r="F14" s="279">
        <f>E14/'- 3 -'!D14</f>
        <v>0</v>
      </c>
      <c r="G14" s="361">
        <f>E14/'- 7 -'!F14</f>
        <v>0</v>
      </c>
      <c r="H14" s="361">
        <v>0</v>
      </c>
      <c r="I14" s="279">
        <f>H14/'- 3 -'!D14</f>
        <v>0</v>
      </c>
      <c r="J14" s="361">
        <f>H14/'- 7 -'!F14</f>
        <v>0</v>
      </c>
    </row>
    <row r="15" spans="1:10" ht="13.5" customHeight="1">
      <c r="A15" s="387" t="s">
        <v>330</v>
      </c>
      <c r="B15" s="362">
        <v>178077</v>
      </c>
      <c r="C15" s="278">
        <f>B15/'- 3 -'!D15</f>
        <v>0.014183123391747845</v>
      </c>
      <c r="D15" s="362">
        <f>B15/'- 7 -'!F15</f>
        <v>105.62099644128114</v>
      </c>
      <c r="E15" s="362">
        <v>0</v>
      </c>
      <c r="F15" s="278">
        <f>E15/'- 3 -'!D15</f>
        <v>0</v>
      </c>
      <c r="G15" s="362">
        <f>E15/'- 7 -'!F15</f>
        <v>0</v>
      </c>
      <c r="H15" s="362">
        <v>0</v>
      </c>
      <c r="I15" s="278">
        <f>H15/'- 3 -'!D15</f>
        <v>0</v>
      </c>
      <c r="J15" s="362">
        <f>H15/'- 7 -'!F15</f>
        <v>0</v>
      </c>
    </row>
    <row r="16" spans="1:10" ht="13.5" customHeight="1">
      <c r="A16" s="388" t="s">
        <v>331</v>
      </c>
      <c r="B16" s="361">
        <v>166755</v>
      </c>
      <c r="C16" s="279">
        <f>B16/'- 3 -'!D16</f>
        <v>0.015463404157773737</v>
      </c>
      <c r="D16" s="361">
        <f>B16/'- 7 -'!F16</f>
        <v>118.33981491995004</v>
      </c>
      <c r="E16" s="361">
        <v>0</v>
      </c>
      <c r="F16" s="279">
        <f>E16/'- 3 -'!D16</f>
        <v>0</v>
      </c>
      <c r="G16" s="361">
        <f>E16/'- 7 -'!F16</f>
        <v>0</v>
      </c>
      <c r="H16" s="361">
        <v>18840</v>
      </c>
      <c r="I16" s="279">
        <f>H16/'- 3 -'!D16</f>
        <v>0.001747057265643952</v>
      </c>
      <c r="J16" s="361">
        <f>H16/'- 7 -'!F16</f>
        <v>13.370046553877598</v>
      </c>
    </row>
    <row r="17" spans="1:10" ht="13.5" customHeight="1">
      <c r="A17" s="387" t="s">
        <v>332</v>
      </c>
      <c r="B17" s="362">
        <v>117993</v>
      </c>
      <c r="C17" s="278">
        <f>B17/'- 3 -'!D17</f>
        <v>0.009586163518129243</v>
      </c>
      <c r="D17" s="362">
        <f>B17/'- 7 -'!F17</f>
        <v>75.12224004889602</v>
      </c>
      <c r="E17" s="362">
        <v>0</v>
      </c>
      <c r="F17" s="278">
        <f>E17/'- 3 -'!D17</f>
        <v>0</v>
      </c>
      <c r="G17" s="362">
        <f>E17/'- 7 -'!F17</f>
        <v>0</v>
      </c>
      <c r="H17" s="362">
        <v>0</v>
      </c>
      <c r="I17" s="278">
        <f>H17/'- 3 -'!D17</f>
        <v>0</v>
      </c>
      <c r="J17" s="362">
        <f>H17/'- 7 -'!F17</f>
        <v>0</v>
      </c>
    </row>
    <row r="18" spans="1:10" ht="13.5" customHeight="1">
      <c r="A18" s="388" t="s">
        <v>333</v>
      </c>
      <c r="B18" s="361">
        <v>461660</v>
      </c>
      <c r="C18" s="279">
        <f>B18/'- 3 -'!D18</f>
        <v>0.006382681310673357</v>
      </c>
      <c r="D18" s="361">
        <f>B18/'- 7 -'!F18</f>
        <v>77.86473266992748</v>
      </c>
      <c r="E18" s="361">
        <v>88749</v>
      </c>
      <c r="F18" s="279">
        <f>E18/'- 3 -'!D18</f>
        <v>0.0012269994880235449</v>
      </c>
      <c r="G18" s="361">
        <f>E18/'- 7 -'!F18</f>
        <v>14.968628773823578</v>
      </c>
      <c r="H18" s="361">
        <v>650961</v>
      </c>
      <c r="I18" s="279">
        <f>H18/'- 3 -'!D18</f>
        <v>0.008999862688292767</v>
      </c>
      <c r="J18" s="361">
        <f>H18/'- 7 -'!F18</f>
        <v>109.79271377972677</v>
      </c>
    </row>
    <row r="19" spans="1:10" ht="13.5" customHeight="1">
      <c r="A19" s="387" t="s">
        <v>334</v>
      </c>
      <c r="B19" s="362">
        <v>259801</v>
      </c>
      <c r="C19" s="278">
        <f>B19/'- 3 -'!D19</f>
        <v>0.01469410475691248</v>
      </c>
      <c r="D19" s="362">
        <f>B19/'- 7 -'!F19</f>
        <v>88.75106753663786</v>
      </c>
      <c r="E19" s="362">
        <v>0</v>
      </c>
      <c r="F19" s="278">
        <f>E19/'- 3 -'!D19</f>
        <v>0</v>
      </c>
      <c r="G19" s="362">
        <f>E19/'- 7 -'!F19</f>
        <v>0</v>
      </c>
      <c r="H19" s="362">
        <v>0</v>
      </c>
      <c r="I19" s="278">
        <f>H19/'- 3 -'!D19</f>
        <v>0</v>
      </c>
      <c r="J19" s="362">
        <f>H19/'- 7 -'!F19</f>
        <v>0</v>
      </c>
    </row>
    <row r="20" spans="1:10" ht="13.5" customHeight="1">
      <c r="A20" s="388" t="s">
        <v>335</v>
      </c>
      <c r="B20" s="361">
        <v>386298</v>
      </c>
      <c r="C20" s="279">
        <f>B20/'- 3 -'!D20</f>
        <v>0.011552809742810335</v>
      </c>
      <c r="D20" s="361">
        <f>B20/'- 7 -'!F20</f>
        <v>63.110276098676685</v>
      </c>
      <c r="E20" s="361">
        <v>33559</v>
      </c>
      <c r="F20" s="279">
        <f>E20/'- 3 -'!D20</f>
        <v>0.0010036312436486133</v>
      </c>
      <c r="G20" s="361">
        <f>E20/'- 7 -'!F20</f>
        <v>5.482600882208789</v>
      </c>
      <c r="H20" s="361">
        <v>121153</v>
      </c>
      <c r="I20" s="279">
        <f>H20/'- 3 -'!D20</f>
        <v>0.00362325862098872</v>
      </c>
      <c r="J20" s="361">
        <f>H20/'- 7 -'!F20</f>
        <v>19.793007678483907</v>
      </c>
    </row>
    <row r="21" spans="1:10" ht="13.5" customHeight="1">
      <c r="A21" s="387" t="s">
        <v>336</v>
      </c>
      <c r="B21" s="362">
        <v>371439</v>
      </c>
      <c r="C21" s="278">
        <f>B21/'- 3 -'!D21</f>
        <v>0.01596668651761348</v>
      </c>
      <c r="D21" s="362">
        <f>B21/'- 7 -'!F21</f>
        <v>112.23756572188312</v>
      </c>
      <c r="E21" s="362">
        <v>0</v>
      </c>
      <c r="F21" s="278">
        <f>E21/'- 3 -'!D21</f>
        <v>0</v>
      </c>
      <c r="G21" s="362">
        <f>E21/'- 7 -'!F21</f>
        <v>0</v>
      </c>
      <c r="H21" s="362">
        <v>0</v>
      </c>
      <c r="I21" s="278">
        <f>H21/'- 3 -'!D21</f>
        <v>0</v>
      </c>
      <c r="J21" s="362">
        <f>H21/'- 7 -'!F21</f>
        <v>0</v>
      </c>
    </row>
    <row r="22" spans="1:10" ht="13.5" customHeight="1">
      <c r="A22" s="388" t="s">
        <v>337</v>
      </c>
      <c r="B22" s="361">
        <v>273038</v>
      </c>
      <c r="C22" s="279">
        <f>B22/'- 3 -'!D22</f>
        <v>0.021326720106228214</v>
      </c>
      <c r="D22" s="361">
        <f>B22/'- 7 -'!F22</f>
        <v>161.56094674556212</v>
      </c>
      <c r="E22" s="361">
        <v>16131</v>
      </c>
      <c r="F22" s="279">
        <f>E22/'- 3 -'!D22</f>
        <v>0.0012599759814881713</v>
      </c>
      <c r="G22" s="361">
        <f>E22/'- 7 -'!F22</f>
        <v>9.544970414201183</v>
      </c>
      <c r="H22" s="361">
        <v>0</v>
      </c>
      <c r="I22" s="279">
        <f>H22/'- 3 -'!D22</f>
        <v>0</v>
      </c>
      <c r="J22" s="361">
        <f>H22/'- 7 -'!F22</f>
        <v>0</v>
      </c>
    </row>
    <row r="23" spans="1:10" ht="13.5" customHeight="1">
      <c r="A23" s="387" t="s">
        <v>338</v>
      </c>
      <c r="B23" s="362">
        <v>197029</v>
      </c>
      <c r="C23" s="278">
        <f>B23/'- 3 -'!D23</f>
        <v>0.018405649571954143</v>
      </c>
      <c r="D23" s="362">
        <f>B23/'- 7 -'!F23</f>
        <v>143.7014076289111</v>
      </c>
      <c r="E23" s="362">
        <v>0</v>
      </c>
      <c r="F23" s="278">
        <f>E23/'- 3 -'!D23</f>
        <v>0</v>
      </c>
      <c r="G23" s="362">
        <f>E23/'- 7 -'!F23</f>
        <v>0</v>
      </c>
      <c r="H23" s="362">
        <v>0</v>
      </c>
      <c r="I23" s="278">
        <f>H23/'- 3 -'!D23</f>
        <v>0</v>
      </c>
      <c r="J23" s="362">
        <f>H23/'- 7 -'!F23</f>
        <v>0</v>
      </c>
    </row>
    <row r="24" spans="1:10" ht="13.5" customHeight="1">
      <c r="A24" s="388" t="s">
        <v>339</v>
      </c>
      <c r="B24" s="361">
        <v>384737</v>
      </c>
      <c r="C24" s="279">
        <f>B24/'- 3 -'!D24</f>
        <v>0.011538864321704204</v>
      </c>
      <c r="D24" s="361">
        <f>B24/'- 7 -'!F24</f>
        <v>83.42628531777869</v>
      </c>
      <c r="E24" s="361">
        <v>0</v>
      </c>
      <c r="F24" s="279">
        <f>E24/'- 3 -'!D24</f>
        <v>0</v>
      </c>
      <c r="G24" s="361">
        <f>E24/'- 7 -'!F24</f>
        <v>0</v>
      </c>
      <c r="H24" s="361">
        <v>0</v>
      </c>
      <c r="I24" s="279">
        <f>H24/'- 3 -'!D24</f>
        <v>0</v>
      </c>
      <c r="J24" s="361">
        <f>H24/'- 7 -'!F24</f>
        <v>0</v>
      </c>
    </row>
    <row r="25" spans="1:10" ht="13.5" customHeight="1">
      <c r="A25" s="387" t="s">
        <v>340</v>
      </c>
      <c r="B25" s="362">
        <v>2093803</v>
      </c>
      <c r="C25" s="278">
        <f>B25/'- 3 -'!D25</f>
        <v>0.020234523180155468</v>
      </c>
      <c r="D25" s="362">
        <f>B25/'- 7 -'!F25</f>
        <v>140.62562125567524</v>
      </c>
      <c r="E25" s="362">
        <v>36928</v>
      </c>
      <c r="F25" s="278">
        <f>E25/'- 3 -'!D25</f>
        <v>0.0003568723857959804</v>
      </c>
      <c r="G25" s="362">
        <f>E25/'- 7 -'!F25</f>
        <v>2.4801869811675576</v>
      </c>
      <c r="H25" s="362">
        <v>0</v>
      </c>
      <c r="I25" s="278">
        <f>H25/'- 3 -'!D25</f>
        <v>0</v>
      </c>
      <c r="J25" s="362">
        <f>H25/'- 7 -'!F25</f>
        <v>0</v>
      </c>
    </row>
    <row r="26" spans="1:10" ht="13.5" customHeight="1">
      <c r="A26" s="388" t="s">
        <v>341</v>
      </c>
      <c r="B26" s="361">
        <v>490077.02</v>
      </c>
      <c r="C26" s="279">
        <f>B26/'- 3 -'!D26</f>
        <v>0.018983199640273</v>
      </c>
      <c r="D26" s="361">
        <f>B26/'- 7 -'!F26</f>
        <v>146.29164776119404</v>
      </c>
      <c r="E26" s="361">
        <v>20308.16</v>
      </c>
      <c r="F26" s="279">
        <f>E26/'- 3 -'!D26</f>
        <v>0.0007866393237671224</v>
      </c>
      <c r="G26" s="361">
        <f>E26/'- 7 -'!F26</f>
        <v>6.062137313432836</v>
      </c>
      <c r="H26" s="361">
        <v>152620.65</v>
      </c>
      <c r="I26" s="279">
        <f>H26/'- 3 -'!D26</f>
        <v>0.005911781515848736</v>
      </c>
      <c r="J26" s="361">
        <f>H26/'- 7 -'!F26</f>
        <v>45.55840298507462</v>
      </c>
    </row>
    <row r="27" spans="1:10" ht="13.5" customHeight="1">
      <c r="A27" s="387" t="s">
        <v>342</v>
      </c>
      <c r="B27" s="362">
        <v>501503</v>
      </c>
      <c r="C27" s="278">
        <f>B27/'- 3 -'!D27</f>
        <v>0.019521075180913353</v>
      </c>
      <c r="D27" s="362">
        <f>B27/'- 7 -'!F27</f>
        <v>151.13250760931803</v>
      </c>
      <c r="E27" s="362">
        <v>2610</v>
      </c>
      <c r="F27" s="278">
        <f>E27/'- 3 -'!D27</f>
        <v>0.0001015946190195948</v>
      </c>
      <c r="G27" s="362">
        <f>E27/'- 7 -'!F27</f>
        <v>0.7865473284513155</v>
      </c>
      <c r="H27" s="362">
        <v>0</v>
      </c>
      <c r="I27" s="278">
        <f>H27/'- 3 -'!D27</f>
        <v>0</v>
      </c>
      <c r="J27" s="362">
        <f>H27/'- 7 -'!F27</f>
        <v>0</v>
      </c>
    </row>
    <row r="28" spans="1:10" ht="13.5" customHeight="1">
      <c r="A28" s="388" t="s">
        <v>343</v>
      </c>
      <c r="B28" s="361">
        <v>174670</v>
      </c>
      <c r="C28" s="279">
        <f>B28/'- 3 -'!D28</f>
        <v>0.010853845349755992</v>
      </c>
      <c r="D28" s="361">
        <f>B28/'- 7 -'!F28</f>
        <v>81.57575191481413</v>
      </c>
      <c r="E28" s="361">
        <v>0</v>
      </c>
      <c r="F28" s="279">
        <f>E28/'- 3 -'!D28</f>
        <v>0</v>
      </c>
      <c r="G28" s="361">
        <f>E28/'- 7 -'!F28</f>
        <v>0</v>
      </c>
      <c r="H28" s="361">
        <v>0</v>
      </c>
      <c r="I28" s="279">
        <f>H28/'- 3 -'!D28</f>
        <v>0</v>
      </c>
      <c r="J28" s="361">
        <f>H28/'- 7 -'!F28</f>
        <v>0</v>
      </c>
    </row>
    <row r="29" spans="1:10" ht="13.5" customHeight="1">
      <c r="A29" s="387" t="s">
        <v>344</v>
      </c>
      <c r="B29" s="362">
        <v>1987613</v>
      </c>
      <c r="C29" s="278">
        <f>B29/'- 3 -'!D29</f>
        <v>0.020365770159565012</v>
      </c>
      <c r="D29" s="362">
        <f>B29/'- 7 -'!F29</f>
        <v>151.98258130127925</v>
      </c>
      <c r="E29" s="362">
        <v>0</v>
      </c>
      <c r="F29" s="278">
        <f>E29/'- 3 -'!D29</f>
        <v>0</v>
      </c>
      <c r="G29" s="362">
        <f>E29/'- 7 -'!F29</f>
        <v>0</v>
      </c>
      <c r="H29" s="362">
        <v>162172</v>
      </c>
      <c r="I29" s="278">
        <f>H29/'- 3 -'!D29</f>
        <v>0.0016616703947483625</v>
      </c>
      <c r="J29" s="362">
        <f>H29/'- 7 -'!F29</f>
        <v>12.40046184785019</v>
      </c>
    </row>
    <row r="30" spans="1:10" ht="13.5" customHeight="1">
      <c r="A30" s="388" t="s">
        <v>345</v>
      </c>
      <c r="B30" s="361">
        <v>73510</v>
      </c>
      <c r="C30" s="279">
        <f>B30/'- 3 -'!D30</f>
        <v>0.007629517045655046</v>
      </c>
      <c r="D30" s="361">
        <f>B30/'- 7 -'!F30</f>
        <v>57.31326992047404</v>
      </c>
      <c r="E30" s="361">
        <v>3006</v>
      </c>
      <c r="F30" s="279">
        <f>E30/'- 3 -'!D30</f>
        <v>0.0003119892292101628</v>
      </c>
      <c r="G30" s="361">
        <f>E30/'- 7 -'!F30</f>
        <v>2.3436769062841107</v>
      </c>
      <c r="H30" s="361">
        <v>0</v>
      </c>
      <c r="I30" s="279">
        <f>H30/'- 3 -'!D30</f>
        <v>0</v>
      </c>
      <c r="J30" s="361">
        <f>H30/'- 7 -'!F30</f>
        <v>0</v>
      </c>
    </row>
    <row r="31" spans="1:10" ht="13.5" customHeight="1">
      <c r="A31" s="387" t="s">
        <v>346</v>
      </c>
      <c r="B31" s="362">
        <v>481123</v>
      </c>
      <c r="C31" s="278">
        <f>B31/'- 3 -'!D31</f>
        <v>0.019722085605746523</v>
      </c>
      <c r="D31" s="362">
        <f>B31/'- 7 -'!F31</f>
        <v>142.96585742727245</v>
      </c>
      <c r="E31" s="362">
        <v>52341</v>
      </c>
      <c r="F31" s="278">
        <f>E31/'- 3 -'!D31</f>
        <v>0.002145550478132159</v>
      </c>
      <c r="G31" s="362">
        <f>E31/'- 7 -'!F31</f>
        <v>15.553145336225596</v>
      </c>
      <c r="H31" s="362">
        <v>0</v>
      </c>
      <c r="I31" s="278">
        <f>H31/'- 3 -'!D31</f>
        <v>0</v>
      </c>
      <c r="J31" s="362">
        <f>H31/'- 7 -'!F31</f>
        <v>0</v>
      </c>
    </row>
    <row r="32" spans="1:10" ht="13.5" customHeight="1">
      <c r="A32" s="388" t="s">
        <v>347</v>
      </c>
      <c r="B32" s="361">
        <v>223001</v>
      </c>
      <c r="C32" s="279">
        <f>B32/'- 3 -'!D32</f>
        <v>0.01226767979276846</v>
      </c>
      <c r="D32" s="361">
        <f>B32/'- 7 -'!F32</f>
        <v>94.89404255319148</v>
      </c>
      <c r="E32" s="361">
        <v>2167</v>
      </c>
      <c r="F32" s="279">
        <f>E32/'- 3 -'!D32</f>
        <v>0.00011921050627992366</v>
      </c>
      <c r="G32" s="361">
        <f>E32/'- 7 -'!F32</f>
        <v>0.9221276595744681</v>
      </c>
      <c r="H32" s="361">
        <v>0</v>
      </c>
      <c r="I32" s="279">
        <f>H32/'- 3 -'!D32</f>
        <v>0</v>
      </c>
      <c r="J32" s="361">
        <f>H32/'- 7 -'!F32</f>
        <v>0</v>
      </c>
    </row>
    <row r="33" spans="1:10" ht="13.5" customHeight="1">
      <c r="A33" s="387" t="s">
        <v>348</v>
      </c>
      <c r="B33" s="362">
        <v>166227</v>
      </c>
      <c r="C33" s="278">
        <f>B33/'- 3 -'!D33</f>
        <v>0.007668396019669424</v>
      </c>
      <c r="D33" s="362">
        <f>B33/'- 7 -'!F33</f>
        <v>66.67482251012795</v>
      </c>
      <c r="E33" s="362">
        <v>0</v>
      </c>
      <c r="F33" s="278">
        <f>E33/'- 3 -'!D33</f>
        <v>0</v>
      </c>
      <c r="G33" s="362">
        <f>E33/'- 7 -'!F33</f>
        <v>0</v>
      </c>
      <c r="H33" s="362">
        <v>0</v>
      </c>
      <c r="I33" s="278">
        <f>H33/'- 3 -'!D33</f>
        <v>0</v>
      </c>
      <c r="J33" s="362">
        <f>H33/'- 7 -'!F33</f>
        <v>0</v>
      </c>
    </row>
    <row r="34" spans="1:10" ht="13.5" customHeight="1">
      <c r="A34" s="388" t="s">
        <v>349</v>
      </c>
      <c r="B34" s="361">
        <v>273290</v>
      </c>
      <c r="C34" s="279">
        <f>B34/'- 3 -'!D34</f>
        <v>0.016631310177201552</v>
      </c>
      <c r="D34" s="361">
        <f>B34/'- 7 -'!F34</f>
        <v>123.54882459312839</v>
      </c>
      <c r="E34" s="361">
        <v>0</v>
      </c>
      <c r="F34" s="279">
        <f>E34/'- 3 -'!D34</f>
        <v>0</v>
      </c>
      <c r="G34" s="361">
        <f>E34/'- 7 -'!F34</f>
        <v>0</v>
      </c>
      <c r="H34" s="361">
        <v>0</v>
      </c>
      <c r="I34" s="279">
        <f>H34/'- 3 -'!D34</f>
        <v>0</v>
      </c>
      <c r="J34" s="361">
        <f>H34/'- 7 -'!F34</f>
        <v>0</v>
      </c>
    </row>
    <row r="35" spans="1:10" ht="13.5" customHeight="1">
      <c r="A35" s="387" t="s">
        <v>350</v>
      </c>
      <c r="B35" s="362">
        <v>2017589</v>
      </c>
      <c r="C35" s="278">
        <f>B35/'- 3 -'!D35</f>
        <v>0.016487049109618908</v>
      </c>
      <c r="D35" s="362">
        <f>B35/'- 7 -'!F35</f>
        <v>113.2350976837639</v>
      </c>
      <c r="E35" s="362">
        <v>38075</v>
      </c>
      <c r="F35" s="278">
        <f>E35/'- 3 -'!D35</f>
        <v>0.0003111359126406517</v>
      </c>
      <c r="G35" s="362">
        <f>E35/'- 7 -'!F35</f>
        <v>2.136920028959967</v>
      </c>
      <c r="H35" s="362">
        <v>269994</v>
      </c>
      <c r="I35" s="278">
        <f>H35/'- 3 -'!D35</f>
        <v>0.0022062988732107713</v>
      </c>
      <c r="J35" s="362">
        <f>H35/'- 7 -'!F35</f>
        <v>15.153134242915751</v>
      </c>
    </row>
    <row r="36" spans="1:10" ht="13.5" customHeight="1">
      <c r="A36" s="388" t="s">
        <v>351</v>
      </c>
      <c r="B36" s="361">
        <v>221536</v>
      </c>
      <c r="C36" s="279">
        <f>B36/'- 3 -'!D36</f>
        <v>0.013914061501463251</v>
      </c>
      <c r="D36" s="361">
        <f>B36/'- 7 -'!F36</f>
        <v>104.30131826741996</v>
      </c>
      <c r="E36" s="361">
        <v>802</v>
      </c>
      <c r="F36" s="279">
        <f>E36/'- 3 -'!D36</f>
        <v>5.037139482600357E-05</v>
      </c>
      <c r="G36" s="361">
        <f>E36/'- 7 -'!F36</f>
        <v>0.3775894538606403</v>
      </c>
      <c r="H36" s="361">
        <v>0</v>
      </c>
      <c r="I36" s="279">
        <f>H36/'- 3 -'!D36</f>
        <v>0</v>
      </c>
      <c r="J36" s="361">
        <f>H36/'- 7 -'!F36</f>
        <v>0</v>
      </c>
    </row>
    <row r="37" spans="1:10" ht="13.5" customHeight="1">
      <c r="A37" s="387" t="s">
        <v>352</v>
      </c>
      <c r="B37" s="362">
        <v>322898</v>
      </c>
      <c r="C37" s="278">
        <f>B37/'- 3 -'!D37</f>
        <v>0.013804883247971826</v>
      </c>
      <c r="D37" s="362">
        <f>B37/'- 7 -'!F37</f>
        <v>95.52912635720837</v>
      </c>
      <c r="E37" s="362">
        <v>0</v>
      </c>
      <c r="F37" s="278">
        <f>E37/'- 3 -'!D37</f>
        <v>0</v>
      </c>
      <c r="G37" s="362">
        <f>E37/'- 7 -'!F37</f>
        <v>0</v>
      </c>
      <c r="H37" s="362">
        <v>626</v>
      </c>
      <c r="I37" s="278">
        <f>H37/'- 3 -'!D37</f>
        <v>2.6763426571952638E-05</v>
      </c>
      <c r="J37" s="362">
        <f>H37/'- 7 -'!F37</f>
        <v>0.18520162125380907</v>
      </c>
    </row>
    <row r="38" spans="1:10" ht="13.5" customHeight="1">
      <c r="A38" s="388" t="s">
        <v>353</v>
      </c>
      <c r="B38" s="361">
        <v>1271586</v>
      </c>
      <c r="C38" s="279">
        <f>B38/'- 3 -'!D38</f>
        <v>0.020662565096163085</v>
      </c>
      <c r="D38" s="361">
        <f>B38/'- 7 -'!F38</f>
        <v>149.1858978119317</v>
      </c>
      <c r="E38" s="361">
        <v>0</v>
      </c>
      <c r="F38" s="279">
        <f>E38/'- 3 -'!D38</f>
        <v>0</v>
      </c>
      <c r="G38" s="361">
        <f>E38/'- 7 -'!F38</f>
        <v>0</v>
      </c>
      <c r="H38" s="361">
        <v>0</v>
      </c>
      <c r="I38" s="279">
        <f>H38/'- 3 -'!D38</f>
        <v>0</v>
      </c>
      <c r="J38" s="361">
        <f>H38/'- 7 -'!F38</f>
        <v>0</v>
      </c>
    </row>
    <row r="39" spans="1:10" ht="13.5" customHeight="1">
      <c r="A39" s="387" t="s">
        <v>354</v>
      </c>
      <c r="B39" s="362">
        <v>137989</v>
      </c>
      <c r="C39" s="278">
        <f>B39/'- 3 -'!D39</f>
        <v>0.009398961533711357</v>
      </c>
      <c r="D39" s="362">
        <f>B39/'- 7 -'!F39</f>
        <v>76.27915975677169</v>
      </c>
      <c r="E39" s="362">
        <v>0</v>
      </c>
      <c r="F39" s="278">
        <f>E39/'- 3 -'!D39</f>
        <v>0</v>
      </c>
      <c r="G39" s="362">
        <f>E39/'- 7 -'!F39</f>
        <v>0</v>
      </c>
      <c r="H39" s="362">
        <v>0</v>
      </c>
      <c r="I39" s="278">
        <f>H39/'- 3 -'!D39</f>
        <v>0</v>
      </c>
      <c r="J39" s="362">
        <f>H39/'- 7 -'!F39</f>
        <v>0</v>
      </c>
    </row>
    <row r="40" spans="1:10" ht="13.5" customHeight="1">
      <c r="A40" s="388" t="s">
        <v>355</v>
      </c>
      <c r="B40" s="361">
        <v>580993</v>
      </c>
      <c r="C40" s="279">
        <f>B40/'- 3 -'!D40</f>
        <v>0.009360111695026938</v>
      </c>
      <c r="D40" s="361">
        <f>B40/'- 7 -'!F40</f>
        <v>63.709913535504185</v>
      </c>
      <c r="E40" s="361">
        <v>35735</v>
      </c>
      <c r="F40" s="279">
        <f>E40/'- 3 -'!D40</f>
        <v>0.0005757101917265572</v>
      </c>
      <c r="G40" s="361">
        <f>E40/'- 7 -'!F40</f>
        <v>3.9185906890293722</v>
      </c>
      <c r="H40" s="361">
        <v>18702</v>
      </c>
      <c r="I40" s="279">
        <f>H40/'- 3 -'!D40</f>
        <v>0.0003012993425400888</v>
      </c>
      <c r="J40" s="361">
        <f>H40/'- 7 -'!F40</f>
        <v>2.050804059499855</v>
      </c>
    </row>
    <row r="41" spans="1:10" ht="13.5" customHeight="1">
      <c r="A41" s="387" t="s">
        <v>356</v>
      </c>
      <c r="B41" s="362">
        <v>567015</v>
      </c>
      <c r="C41" s="278">
        <f>B41/'- 3 -'!D41</f>
        <v>0.015096871023281182</v>
      </c>
      <c r="D41" s="362">
        <f>B41/'- 7 -'!F41</f>
        <v>115.34541681923592</v>
      </c>
      <c r="E41" s="362">
        <v>0</v>
      </c>
      <c r="F41" s="278">
        <f>E41/'- 3 -'!D41</f>
        <v>0</v>
      </c>
      <c r="G41" s="362">
        <f>E41/'- 7 -'!F41</f>
        <v>0</v>
      </c>
      <c r="H41" s="362">
        <v>0</v>
      </c>
      <c r="I41" s="278">
        <f>H41/'- 3 -'!D41</f>
        <v>0</v>
      </c>
      <c r="J41" s="362">
        <f>H41/'- 7 -'!F41</f>
        <v>0</v>
      </c>
    </row>
    <row r="42" spans="1:10" ht="13.5" customHeight="1">
      <c r="A42" s="388" t="s">
        <v>357</v>
      </c>
      <c r="B42" s="361">
        <v>137438</v>
      </c>
      <c r="C42" s="279">
        <f>B42/'- 3 -'!D42</f>
        <v>0.009452375948139923</v>
      </c>
      <c r="D42" s="361">
        <f>B42/'- 7 -'!F42</f>
        <v>73.09365526777643</v>
      </c>
      <c r="E42" s="361">
        <v>0</v>
      </c>
      <c r="F42" s="279">
        <f>E42/'- 3 -'!D42</f>
        <v>0</v>
      </c>
      <c r="G42" s="361">
        <f>E42/'- 7 -'!F42</f>
        <v>0</v>
      </c>
      <c r="H42" s="361">
        <v>0</v>
      </c>
      <c r="I42" s="279">
        <f>H42/'- 3 -'!D42</f>
        <v>0</v>
      </c>
      <c r="J42" s="361">
        <f>H42/'- 7 -'!F42</f>
        <v>0</v>
      </c>
    </row>
    <row r="43" spans="1:10" ht="13.5" customHeight="1">
      <c r="A43" s="387" t="s">
        <v>358</v>
      </c>
      <c r="B43" s="362">
        <v>118341</v>
      </c>
      <c r="C43" s="278">
        <f>B43/'- 3 -'!D43</f>
        <v>0.012983744344619939</v>
      </c>
      <c r="D43" s="362">
        <f>B43/'- 7 -'!F43</f>
        <v>97.08039376538146</v>
      </c>
      <c r="E43" s="362">
        <v>0</v>
      </c>
      <c r="F43" s="278">
        <f>E43/'- 3 -'!D43</f>
        <v>0</v>
      </c>
      <c r="G43" s="362">
        <f>E43/'- 7 -'!F43</f>
        <v>0</v>
      </c>
      <c r="H43" s="362">
        <v>0</v>
      </c>
      <c r="I43" s="278">
        <f>H43/'- 3 -'!D43</f>
        <v>0</v>
      </c>
      <c r="J43" s="362">
        <f>H43/'- 7 -'!F43</f>
        <v>0</v>
      </c>
    </row>
    <row r="44" spans="1:10" ht="13.5" customHeight="1">
      <c r="A44" s="388" t="s">
        <v>359</v>
      </c>
      <c r="B44" s="361">
        <v>68048</v>
      </c>
      <c r="C44" s="279">
        <f>B44/'- 3 -'!D44</f>
        <v>0.010396489582391403</v>
      </c>
      <c r="D44" s="361">
        <f>B44/'- 7 -'!F44</f>
        <v>83.13744654856444</v>
      </c>
      <c r="E44" s="361">
        <v>1229</v>
      </c>
      <c r="F44" s="279">
        <f>E44/'- 3 -'!D44</f>
        <v>0.00018776871762225244</v>
      </c>
      <c r="G44" s="361">
        <f>E44/'- 7 -'!F44</f>
        <v>1.5015271838729383</v>
      </c>
      <c r="H44" s="361">
        <v>0</v>
      </c>
      <c r="I44" s="279">
        <f>H44/'- 3 -'!D44</f>
        <v>0</v>
      </c>
      <c r="J44" s="361">
        <f>H44/'- 7 -'!F44</f>
        <v>0</v>
      </c>
    </row>
    <row r="45" spans="1:10" ht="13.5" customHeight="1">
      <c r="A45" s="387" t="s">
        <v>360</v>
      </c>
      <c r="B45" s="362">
        <v>204816</v>
      </c>
      <c r="C45" s="278">
        <f>B45/'- 3 -'!D45</f>
        <v>0.020711916511609092</v>
      </c>
      <c r="D45" s="362">
        <f>B45/'- 7 -'!F45</f>
        <v>140.47736625514403</v>
      </c>
      <c r="E45" s="362">
        <v>0</v>
      </c>
      <c r="F45" s="278">
        <f>E45/'- 3 -'!D45</f>
        <v>0</v>
      </c>
      <c r="G45" s="362">
        <f>E45/'- 7 -'!F45</f>
        <v>0</v>
      </c>
      <c r="H45" s="362">
        <v>106286</v>
      </c>
      <c r="I45" s="278">
        <f>H45/'- 3 -'!D45</f>
        <v>0.010748119084216487</v>
      </c>
      <c r="J45" s="362">
        <f>H45/'- 7 -'!F45</f>
        <v>72.89849108367626</v>
      </c>
    </row>
    <row r="46" spans="1:10" ht="13.5" customHeight="1">
      <c r="A46" s="388" t="s">
        <v>361</v>
      </c>
      <c r="B46" s="361">
        <v>4007248</v>
      </c>
      <c r="C46" s="279">
        <f>B46/'- 3 -'!D46</f>
        <v>0.015992623877715138</v>
      </c>
      <c r="D46" s="361">
        <f>B46/'- 7 -'!F46</f>
        <v>130.00837037277358</v>
      </c>
      <c r="E46" s="361">
        <v>109454</v>
      </c>
      <c r="F46" s="279">
        <f>E46/'- 3 -'!D46</f>
        <v>0.0004368226408526332</v>
      </c>
      <c r="G46" s="361">
        <f>E46/'- 7 -'!F46</f>
        <v>3.5510495409272296</v>
      </c>
      <c r="H46" s="361">
        <v>976232</v>
      </c>
      <c r="I46" s="279">
        <f>H46/'- 3 -'!D46</f>
        <v>0.00389606812290869</v>
      </c>
      <c r="J46" s="361">
        <f>H46/'- 7 -'!F46</f>
        <v>31.672192843006844</v>
      </c>
    </row>
    <row r="47" spans="1:10" ht="13.5" customHeight="1">
      <c r="A47" s="387" t="s">
        <v>365</v>
      </c>
      <c r="B47" s="362">
        <v>366926</v>
      </c>
      <c r="C47" s="278">
        <f>B47/'- 3 -'!D47</f>
        <v>0.06596729627500858</v>
      </c>
      <c r="D47" s="362">
        <f>B47/'- 7 -'!F47</f>
        <v>594.9058010960148</v>
      </c>
      <c r="E47" s="362">
        <v>0</v>
      </c>
      <c r="F47" s="278">
        <f>E47/'- 3 -'!D47</f>
        <v>0</v>
      </c>
      <c r="G47" s="362">
        <f>E47/'- 7 -'!F47</f>
        <v>0</v>
      </c>
      <c r="H47" s="362">
        <v>0</v>
      </c>
      <c r="I47" s="278">
        <f>H47/'- 3 -'!D47</f>
        <v>0</v>
      </c>
      <c r="J47" s="362">
        <f>H47/'- 7 -'!F47</f>
        <v>0</v>
      </c>
    </row>
    <row r="48" spans="1:10" ht="4.5" customHeight="1">
      <c r="A48" s="389"/>
      <c r="B48" s="322"/>
      <c r="C48" s="162"/>
      <c r="D48" s="322"/>
      <c r="E48" s="322"/>
      <c r="F48" s="162"/>
      <c r="G48" s="322"/>
      <c r="H48" s="322"/>
      <c r="I48" s="162"/>
      <c r="J48" s="322"/>
    </row>
    <row r="49" spans="1:10" ht="13.5" customHeight="1">
      <c r="A49" s="383" t="s">
        <v>362</v>
      </c>
      <c r="B49" s="363">
        <f>SUM(B11:B47)</f>
        <v>21550308.02</v>
      </c>
      <c r="C49" s="81">
        <f>B49/'- 3 -'!D49</f>
        <v>0.015992834573014075</v>
      </c>
      <c r="D49" s="363">
        <f>B49/'- 7 -'!F49</f>
        <v>120.28893726549924</v>
      </c>
      <c r="E49" s="363">
        <f>SUM(E11:E47)</f>
        <v>456585.16000000003</v>
      </c>
      <c r="F49" s="81">
        <f>E49/'- 3 -'!D49</f>
        <v>0.0003388392836703948</v>
      </c>
      <c r="G49" s="363">
        <f>E49/'- 7 -'!F49</f>
        <v>2.5485549262974265</v>
      </c>
      <c r="H49" s="363">
        <f>SUM(H11:H47)</f>
        <v>2523593.65</v>
      </c>
      <c r="I49" s="81">
        <f>H49/'- 3 -'!D49</f>
        <v>0.001872799949611058</v>
      </c>
      <c r="J49" s="363">
        <f>H49/'- 7 -'!F49</f>
        <v>14.086128048227417</v>
      </c>
    </row>
    <row r="50" spans="1:10" ht="4.5" customHeight="1">
      <c r="A50" s="389" t="s">
        <v>15</v>
      </c>
      <c r="B50" s="322"/>
      <c r="C50" s="162"/>
      <c r="D50" s="9"/>
      <c r="E50" s="322"/>
      <c r="F50" s="162"/>
      <c r="G50" s="322"/>
      <c r="H50" s="322"/>
      <c r="I50" s="162"/>
      <c r="J50" s="9"/>
    </row>
    <row r="51" spans="1:10" ht="13.5" customHeight="1">
      <c r="A51" s="388" t="s">
        <v>363</v>
      </c>
      <c r="B51" s="361">
        <v>18828</v>
      </c>
      <c r="C51" s="279">
        <f>B51/'- 3 -'!D51</f>
        <v>0.014902832393001653</v>
      </c>
      <c r="D51" s="8">
        <f>B51/'- 7 -'!F51</f>
        <v>123.05882352941177</v>
      </c>
      <c r="E51" s="361">
        <v>0</v>
      </c>
      <c r="F51" s="279">
        <f>E51/'- 3 -'!D51</f>
        <v>0</v>
      </c>
      <c r="G51" s="361">
        <f>E51/'- 7 -'!F51</f>
        <v>0</v>
      </c>
      <c r="H51" s="361">
        <v>0</v>
      </c>
      <c r="I51" s="279">
        <f>H51/'- 3 -'!D51</f>
        <v>0</v>
      </c>
      <c r="J51" s="8">
        <f>H51/'- 7 -'!F51</f>
        <v>0</v>
      </c>
    </row>
    <row r="52" spans="1:10" ht="13.5" customHeight="1">
      <c r="A52" s="387" t="s">
        <v>364</v>
      </c>
      <c r="B52" s="362">
        <v>68783</v>
      </c>
      <c r="C52" s="278">
        <f>B52/'- 3 -'!D52</f>
        <v>0.028845165919568358</v>
      </c>
      <c r="D52" s="7">
        <f>B52/'- 7 -'!F52</f>
        <v>251.95238095238096</v>
      </c>
      <c r="E52" s="362">
        <v>0</v>
      </c>
      <c r="F52" s="278">
        <f>E52/'- 3 -'!D52</f>
        <v>0</v>
      </c>
      <c r="G52" s="362">
        <f>E52/'- 7 -'!F52</f>
        <v>0</v>
      </c>
      <c r="H52" s="362">
        <v>0</v>
      </c>
      <c r="I52" s="278">
        <f>H52/'- 3 -'!D52</f>
        <v>0</v>
      </c>
      <c r="J52" s="7">
        <f>H52/'- 7 -'!F52</f>
        <v>0</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E58"/>
  <sheetViews>
    <sheetView showGridLines="0" showZeros="0" workbookViewId="0" topLeftCell="A1">
      <selection activeCell="A1" sqref="A1"/>
    </sheetView>
  </sheetViews>
  <sheetFormatPr defaultColWidth="15.83203125" defaultRowHeight="12"/>
  <cols>
    <col min="1" max="1" width="35.83203125" style="67" customWidth="1"/>
    <col min="2" max="2" width="20.83203125" style="67" customWidth="1"/>
    <col min="3" max="4" width="15.83203125" style="67" customWidth="1"/>
    <col min="5" max="5" width="45.83203125" style="67" customWidth="1"/>
    <col min="6" max="16384" width="15.83203125" style="67" customWidth="1"/>
  </cols>
  <sheetData>
    <row r="1" spans="1:5" ht="6.75" customHeight="1">
      <c r="A1" s="12"/>
      <c r="B1" s="13"/>
      <c r="C1" s="13"/>
      <c r="D1" s="13"/>
      <c r="E1" s="13"/>
    </row>
    <row r="2" spans="1:5" ht="15.75" customHeight="1">
      <c r="A2" s="331"/>
      <c r="B2" s="471" t="s">
        <v>12</v>
      </c>
      <c r="C2" s="16"/>
      <c r="D2" s="15"/>
      <c r="E2" s="336" t="s">
        <v>298</v>
      </c>
    </row>
    <row r="3" spans="1:5" ht="15.75" customHeight="1">
      <c r="A3" s="332"/>
      <c r="B3" s="473" t="str">
        <f>OPYEAR</f>
        <v>OPERATING FUND 2002/2003 ACTUAL</v>
      </c>
      <c r="C3" s="19"/>
      <c r="D3" s="4"/>
      <c r="E3" s="326"/>
    </row>
    <row r="4" spans="1:5" ht="15.75" customHeight="1">
      <c r="A4" s="9"/>
      <c r="B4" s="13"/>
      <c r="C4" s="13"/>
      <c r="D4" s="13"/>
      <c r="E4"/>
    </row>
    <row r="5" spans="1:5" ht="15.75" customHeight="1">
      <c r="A5" s="9"/>
      <c r="B5" s="269" t="s">
        <v>229</v>
      </c>
      <c r="C5" s="21"/>
      <c r="D5" s="23"/>
      <c r="E5"/>
    </row>
    <row r="6" spans="1:5" ht="15.75" customHeight="1">
      <c r="A6" s="9"/>
      <c r="B6" s="291"/>
      <c r="C6" s="292"/>
      <c r="D6" s="293"/>
      <c r="E6"/>
    </row>
    <row r="7" spans="1:4" ht="15.75" customHeight="1">
      <c r="A7" s="9"/>
      <c r="B7" s="29" t="s">
        <v>69</v>
      </c>
      <c r="C7" s="30"/>
      <c r="D7" s="31"/>
    </row>
    <row r="8" spans="1:4" ht="15.75" customHeight="1">
      <c r="A8" s="313"/>
      <c r="B8" s="78"/>
      <c r="C8" s="37"/>
      <c r="D8" s="38" t="s">
        <v>87</v>
      </c>
    </row>
    <row r="9" spans="1:4" ht="15.75" customHeight="1">
      <c r="A9" s="314" t="s">
        <v>112</v>
      </c>
      <c r="B9" s="79" t="s">
        <v>113</v>
      </c>
      <c r="C9" s="41" t="s">
        <v>114</v>
      </c>
      <c r="D9" s="41" t="s">
        <v>115</v>
      </c>
    </row>
    <row r="10" spans="1:4" ht="4.5" customHeight="1">
      <c r="A10" s="62"/>
      <c r="B10" s="74"/>
      <c r="C10" s="74"/>
      <c r="D10" s="74"/>
    </row>
    <row r="11" spans="1:4" ht="13.5" customHeight="1">
      <c r="A11" s="387" t="s">
        <v>327</v>
      </c>
      <c r="B11" s="362">
        <v>14639</v>
      </c>
      <c r="C11" s="278">
        <f>B11/'- 3 -'!D11</f>
        <v>0.001310365750176148</v>
      </c>
      <c r="D11" s="362">
        <f>B11/'- 7 -'!F11</f>
        <v>9.022496147919878</v>
      </c>
    </row>
    <row r="12" spans="1:4" ht="13.5" customHeight="1">
      <c r="A12" s="388" t="s">
        <v>328</v>
      </c>
      <c r="B12" s="361">
        <v>10191</v>
      </c>
      <c r="C12" s="279">
        <f>B12/'- 3 -'!D12</f>
        <v>0.0005551697410646054</v>
      </c>
      <c r="D12" s="361">
        <f>B12/'- 7 -'!F12</f>
        <v>4.336780288522916</v>
      </c>
    </row>
    <row r="13" spans="1:4" ht="13.5" customHeight="1">
      <c r="A13" s="387" t="s">
        <v>329</v>
      </c>
      <c r="B13" s="362">
        <v>21925</v>
      </c>
      <c r="C13" s="278">
        <f>B13/'- 3 -'!D13</f>
        <v>0.0004711803733484994</v>
      </c>
      <c r="D13" s="362">
        <f>B13/'- 7 -'!F13</f>
        <v>3.006307418072124</v>
      </c>
    </row>
    <row r="14" spans="1:4" ht="13.5" customHeight="1">
      <c r="A14" s="388" t="s">
        <v>366</v>
      </c>
      <c r="B14" s="361">
        <v>27949</v>
      </c>
      <c r="C14" s="279">
        <f>B14/'- 3 -'!D14</f>
        <v>0.0007079060458808424</v>
      </c>
      <c r="D14" s="361">
        <f>B14/'- 7 -'!F14</f>
        <v>6.531361002056459</v>
      </c>
    </row>
    <row r="15" spans="1:4" ht="13.5" customHeight="1">
      <c r="A15" s="387" t="s">
        <v>330</v>
      </c>
      <c r="B15" s="362">
        <v>5913</v>
      </c>
      <c r="C15" s="278">
        <f>B15/'- 3 -'!D15</f>
        <v>0.000470946885984181</v>
      </c>
      <c r="D15" s="362">
        <f>B15/'- 7 -'!F15</f>
        <v>3.50711743772242</v>
      </c>
    </row>
    <row r="16" spans="1:4" ht="13.5" customHeight="1">
      <c r="A16" s="388" t="s">
        <v>331</v>
      </c>
      <c r="B16" s="361">
        <v>58678</v>
      </c>
      <c r="C16" s="279">
        <f>B16/'- 3 -'!D16</f>
        <v>0.005441285893495532</v>
      </c>
      <c r="D16" s="361">
        <f>B16/'- 7 -'!F16</f>
        <v>41.641591915521744</v>
      </c>
    </row>
    <row r="17" spans="1:4" ht="13.5" customHeight="1">
      <c r="A17" s="387" t="s">
        <v>332</v>
      </c>
      <c r="B17" s="362">
        <v>5663</v>
      </c>
      <c r="C17" s="278">
        <f>B17/'- 3 -'!D17</f>
        <v>0.00046008190319057825</v>
      </c>
      <c r="D17" s="362">
        <f>B17/'- 7 -'!F17</f>
        <v>3.6054447755112435</v>
      </c>
    </row>
    <row r="18" spans="1:4" ht="13.5" customHeight="1">
      <c r="A18" s="388" t="s">
        <v>333</v>
      </c>
      <c r="B18" s="361">
        <v>32034</v>
      </c>
      <c r="C18" s="279">
        <f>B18/'- 3 -'!D18</f>
        <v>0.00044288613504767647</v>
      </c>
      <c r="D18" s="361">
        <f>B18/'- 7 -'!F18</f>
        <v>5.402934727610052</v>
      </c>
    </row>
    <row r="19" spans="1:4" ht="13.5" customHeight="1">
      <c r="A19" s="387" t="s">
        <v>334</v>
      </c>
      <c r="B19" s="362">
        <v>31834</v>
      </c>
      <c r="C19" s="278">
        <f>B19/'- 3 -'!D19</f>
        <v>0.0018005016563891283</v>
      </c>
      <c r="D19" s="362">
        <f>B19/'- 7 -'!F19</f>
        <v>10.874867625456906</v>
      </c>
    </row>
    <row r="20" spans="1:4" ht="13.5" customHeight="1">
      <c r="A20" s="388" t="s">
        <v>335</v>
      </c>
      <c r="B20" s="361">
        <v>37139</v>
      </c>
      <c r="C20" s="279">
        <f>B20/'- 3 -'!D20</f>
        <v>0.0011106964080534536</v>
      </c>
      <c r="D20" s="361">
        <f>B20/'- 7 -'!F20</f>
        <v>6.067472635190328</v>
      </c>
    </row>
    <row r="21" spans="1:4" ht="13.5" customHeight="1">
      <c r="A21" s="387" t="s">
        <v>336</v>
      </c>
      <c r="B21" s="362">
        <v>28485</v>
      </c>
      <c r="C21" s="278">
        <f>B21/'- 3 -'!D21</f>
        <v>0.0012244569510854273</v>
      </c>
      <c r="D21" s="362">
        <f>B21/'- 7 -'!F21</f>
        <v>8.607300416994017</v>
      </c>
    </row>
    <row r="22" spans="1:4" ht="13.5" customHeight="1">
      <c r="A22" s="388" t="s">
        <v>337</v>
      </c>
      <c r="B22" s="361">
        <v>20</v>
      </c>
      <c r="C22" s="279">
        <f>B22/'- 3 -'!D22</f>
        <v>1.5621796311303346E-06</v>
      </c>
      <c r="D22" s="361">
        <f>B22/'- 7 -'!F22</f>
        <v>0.011834319526627219</v>
      </c>
    </row>
    <row r="23" spans="1:4" ht="13.5" customHeight="1">
      <c r="A23" s="387" t="s">
        <v>338</v>
      </c>
      <c r="B23" s="362">
        <v>4220</v>
      </c>
      <c r="C23" s="278">
        <f>B23/'- 3 -'!D23</f>
        <v>0.00039421527386144416</v>
      </c>
      <c r="D23" s="362">
        <f>B23/'- 7 -'!F23</f>
        <v>3.077820727882722</v>
      </c>
    </row>
    <row r="24" spans="1:4" ht="13.5" customHeight="1">
      <c r="A24" s="388" t="s">
        <v>339</v>
      </c>
      <c r="B24" s="361">
        <v>70494</v>
      </c>
      <c r="C24" s="279">
        <f>B24/'- 3 -'!D24</f>
        <v>0.0021142253058432543</v>
      </c>
      <c r="D24" s="361">
        <f>B24/'- 7 -'!F24</f>
        <v>15.285903246091463</v>
      </c>
    </row>
    <row r="25" spans="1:4" ht="13.5" customHeight="1">
      <c r="A25" s="387" t="s">
        <v>340</v>
      </c>
      <c r="B25" s="362">
        <v>65049</v>
      </c>
      <c r="C25" s="278">
        <f>B25/'- 3 -'!D25</f>
        <v>0.0006286338773733407</v>
      </c>
      <c r="D25" s="362">
        <f>B25/'- 7 -'!F25</f>
        <v>4.368871396717084</v>
      </c>
    </row>
    <row r="26" spans="1:4" ht="13.5" customHeight="1">
      <c r="A26" s="388" t="s">
        <v>341</v>
      </c>
      <c r="B26" s="361">
        <v>126279.11</v>
      </c>
      <c r="C26" s="279">
        <f>B26/'- 3 -'!D26</f>
        <v>0.004891438401918936</v>
      </c>
      <c r="D26" s="361">
        <f>B26/'- 7 -'!F26</f>
        <v>37.69525671641791</v>
      </c>
    </row>
    <row r="27" spans="1:4" ht="13.5" customHeight="1">
      <c r="A27" s="387" t="s">
        <v>342</v>
      </c>
      <c r="B27" s="362">
        <v>25183</v>
      </c>
      <c r="C27" s="278">
        <f>B27/'- 3 -'!D27</f>
        <v>0.000980251835544236</v>
      </c>
      <c r="D27" s="362">
        <f>B27/'- 7 -'!F27</f>
        <v>7.589126962601332</v>
      </c>
    </row>
    <row r="28" spans="1:4" ht="13.5" customHeight="1">
      <c r="A28" s="388" t="s">
        <v>343</v>
      </c>
      <c r="B28" s="361">
        <v>15204</v>
      </c>
      <c r="C28" s="279">
        <f>B28/'- 3 -'!D28</f>
        <v>0.0009447636382761212</v>
      </c>
      <c r="D28" s="361">
        <f>B28/'- 7 -'!F28</f>
        <v>7.100691201195592</v>
      </c>
    </row>
    <row r="29" spans="1:4" ht="13.5" customHeight="1">
      <c r="A29" s="387" t="s">
        <v>344</v>
      </c>
      <c r="B29" s="362">
        <v>0</v>
      </c>
      <c r="C29" s="278">
        <f>B29/'- 3 -'!D29</f>
        <v>0</v>
      </c>
      <c r="D29" s="362">
        <f>B29/'- 7 -'!F29</f>
        <v>0</v>
      </c>
    </row>
    <row r="30" spans="1:4" ht="13.5" customHeight="1">
      <c r="A30" s="388" t="s">
        <v>345</v>
      </c>
      <c r="B30" s="361">
        <v>5180</v>
      </c>
      <c r="C30" s="279">
        <f>B30/'- 3 -'!D30</f>
        <v>0.0005376261501359427</v>
      </c>
      <c r="D30" s="361">
        <f>B30/'- 7 -'!F30</f>
        <v>4.038671448619991</v>
      </c>
    </row>
    <row r="31" spans="1:4" ht="13.5" customHeight="1">
      <c r="A31" s="387" t="s">
        <v>346</v>
      </c>
      <c r="B31" s="362">
        <v>54917</v>
      </c>
      <c r="C31" s="278">
        <f>B31/'- 3 -'!D31</f>
        <v>0.0022511452896884616</v>
      </c>
      <c r="D31" s="362">
        <f>B31/'- 7 -'!F31</f>
        <v>16.31860458205806</v>
      </c>
    </row>
    <row r="32" spans="1:4" ht="13.5" customHeight="1">
      <c r="A32" s="388" t="s">
        <v>347</v>
      </c>
      <c r="B32" s="361">
        <v>13281</v>
      </c>
      <c r="C32" s="279">
        <f>B32/'- 3 -'!D32</f>
        <v>0.0007306113215983692</v>
      </c>
      <c r="D32" s="361">
        <f>B32/'- 7 -'!F32</f>
        <v>5.651489361702128</v>
      </c>
    </row>
    <row r="33" spans="1:4" ht="13.5" customHeight="1">
      <c r="A33" s="387" t="s">
        <v>348</v>
      </c>
      <c r="B33" s="362">
        <v>19298</v>
      </c>
      <c r="C33" s="278">
        <f>B33/'- 3 -'!D33</f>
        <v>0.0008902567355939802</v>
      </c>
      <c r="D33" s="362">
        <f>B33/'- 7 -'!F33</f>
        <v>7.7405639565199955</v>
      </c>
    </row>
    <row r="34" spans="1:4" ht="13.5" customHeight="1">
      <c r="A34" s="388" t="s">
        <v>349</v>
      </c>
      <c r="B34" s="361">
        <v>14261</v>
      </c>
      <c r="C34" s="279">
        <f>B34/'- 3 -'!D34</f>
        <v>0.0008678660559737689</v>
      </c>
      <c r="D34" s="361">
        <f>B34/'- 7 -'!F34</f>
        <v>6.447106690777577</v>
      </c>
    </row>
    <row r="35" spans="1:4" ht="13.5" customHeight="1">
      <c r="A35" s="387" t="s">
        <v>350</v>
      </c>
      <c r="B35" s="362">
        <v>79394</v>
      </c>
      <c r="C35" s="278">
        <f>B35/'- 3 -'!D35</f>
        <v>0.000648780686754876</v>
      </c>
      <c r="D35" s="362">
        <f>B35/'- 7 -'!F35</f>
        <v>4.455906205626989</v>
      </c>
    </row>
    <row r="36" spans="1:4" ht="13.5" customHeight="1">
      <c r="A36" s="388" t="s">
        <v>351</v>
      </c>
      <c r="B36" s="361">
        <v>15874</v>
      </c>
      <c r="C36" s="279">
        <f>B36/'- 3 -'!D36</f>
        <v>0.0009970018970922453</v>
      </c>
      <c r="D36" s="361">
        <f>B36/'- 7 -'!F36</f>
        <v>7.4736346516007535</v>
      </c>
    </row>
    <row r="37" spans="1:4" ht="13.5" customHeight="1">
      <c r="A37" s="387" t="s">
        <v>352</v>
      </c>
      <c r="B37" s="362">
        <v>34048</v>
      </c>
      <c r="C37" s="278">
        <f>B37/'- 3 -'!D37</f>
        <v>0.0014556567858176413</v>
      </c>
      <c r="D37" s="362">
        <f>B37/'- 7 -'!F37</f>
        <v>10.073074761101743</v>
      </c>
    </row>
    <row r="38" spans="1:4" ht="13.5" customHeight="1">
      <c r="A38" s="388" t="s">
        <v>353</v>
      </c>
      <c r="B38" s="361">
        <v>136217</v>
      </c>
      <c r="C38" s="279">
        <f>B38/'- 3 -'!D38</f>
        <v>0.0022134504702820313</v>
      </c>
      <c r="D38" s="361">
        <f>B38/'- 7 -'!F38</f>
        <v>15.981345691323986</v>
      </c>
    </row>
    <row r="39" spans="1:4" ht="13.5" customHeight="1">
      <c r="A39" s="387" t="s">
        <v>354</v>
      </c>
      <c r="B39" s="362">
        <v>22615</v>
      </c>
      <c r="C39" s="278">
        <f>B39/'- 3 -'!D39</f>
        <v>0.00154039463352066</v>
      </c>
      <c r="D39" s="362">
        <f>B39/'- 7 -'!F39</f>
        <v>12.50138197899392</v>
      </c>
    </row>
    <row r="40" spans="1:4" ht="13.5" customHeight="1">
      <c r="A40" s="388" t="s">
        <v>355</v>
      </c>
      <c r="B40" s="361">
        <v>47720</v>
      </c>
      <c r="C40" s="279">
        <f>B40/'- 3 -'!D40</f>
        <v>0.0007687950286607335</v>
      </c>
      <c r="D40" s="361">
        <f>B40/'- 7 -'!F40</f>
        <v>5.232829094178863</v>
      </c>
    </row>
    <row r="41" spans="1:4" ht="13.5" customHeight="1">
      <c r="A41" s="387" t="s">
        <v>356</v>
      </c>
      <c r="B41" s="362">
        <v>25804</v>
      </c>
      <c r="C41" s="278">
        <f>B41/'- 3 -'!D41</f>
        <v>0.0006870358983179415</v>
      </c>
      <c r="D41" s="362">
        <f>B41/'- 7 -'!F41</f>
        <v>5.249196468530045</v>
      </c>
    </row>
    <row r="42" spans="1:4" ht="13.5" customHeight="1">
      <c r="A42" s="388" t="s">
        <v>357</v>
      </c>
      <c r="B42" s="361">
        <v>4597</v>
      </c>
      <c r="C42" s="279">
        <f>B42/'- 3 -'!D42</f>
        <v>0.00031616126714299704</v>
      </c>
      <c r="D42" s="361">
        <f>B42/'- 7 -'!F42</f>
        <v>2.4448226346859543</v>
      </c>
    </row>
    <row r="43" spans="1:4" ht="13.5" customHeight="1">
      <c r="A43" s="387" t="s">
        <v>358</v>
      </c>
      <c r="B43" s="362">
        <v>9999</v>
      </c>
      <c r="C43" s="278">
        <f>B43/'- 3 -'!D43</f>
        <v>0.001097037034517663</v>
      </c>
      <c r="D43" s="362">
        <f>B43/'- 7 -'!F43</f>
        <v>8.202625102543069</v>
      </c>
    </row>
    <row r="44" spans="1:4" ht="13.5" customHeight="1">
      <c r="A44" s="388" t="s">
        <v>359</v>
      </c>
      <c r="B44" s="361">
        <v>1600</v>
      </c>
      <c r="C44" s="279">
        <f>B44/'- 3 -'!D44</f>
        <v>0.0002444507308345028</v>
      </c>
      <c r="D44" s="361">
        <f>B44/'- 7 -'!F44</f>
        <v>1.9547953573610262</v>
      </c>
    </row>
    <row r="45" spans="1:4" ht="13.5" customHeight="1">
      <c r="A45" s="387" t="s">
        <v>360</v>
      </c>
      <c r="B45" s="362">
        <v>30160</v>
      </c>
      <c r="C45" s="278">
        <f>B45/'- 3 -'!D45</f>
        <v>0.0030499150554162283</v>
      </c>
      <c r="D45" s="362">
        <f>B45/'- 7 -'!F45</f>
        <v>20.685871056241428</v>
      </c>
    </row>
    <row r="46" spans="1:4" ht="13.5" customHeight="1">
      <c r="A46" s="388" t="s">
        <v>361</v>
      </c>
      <c r="B46" s="361">
        <v>738488</v>
      </c>
      <c r="C46" s="279">
        <f>B46/'- 3 -'!D46</f>
        <v>0.0029472497889339757</v>
      </c>
      <c r="D46" s="361">
        <f>B46/'- 7 -'!F46</f>
        <v>23.95899166207053</v>
      </c>
    </row>
    <row r="47" spans="1:4" ht="13.5" customHeight="1">
      <c r="A47" s="387" t="s">
        <v>365</v>
      </c>
      <c r="B47" s="362">
        <v>0</v>
      </c>
      <c r="C47" s="278">
        <f>B47/'- 3 -'!D47</f>
        <v>0</v>
      </c>
      <c r="D47" s="362">
        <f>B47/'- 7 -'!F47</f>
        <v>0</v>
      </c>
    </row>
    <row r="48" spans="1:4" ht="4.5" customHeight="1">
      <c r="A48" s="389"/>
      <c r="B48" s="322"/>
      <c r="C48" s="162"/>
      <c r="D48" s="322"/>
    </row>
    <row r="49" spans="1:4" ht="13.5" customHeight="1">
      <c r="A49" s="383" t="s">
        <v>362</v>
      </c>
      <c r="B49" s="363">
        <f>SUM(B11:B47)</f>
        <v>1834352.1099999999</v>
      </c>
      <c r="C49" s="81">
        <f>B49/'- 3 -'!D49</f>
        <v>0.0013613025770519505</v>
      </c>
      <c r="D49" s="363">
        <f>B49/'- 7 -'!F49</f>
        <v>10.23893791577584</v>
      </c>
    </row>
    <row r="50" spans="1:4" ht="4.5" customHeight="1">
      <c r="A50" s="389" t="s">
        <v>15</v>
      </c>
      <c r="B50" s="322"/>
      <c r="C50" s="162"/>
      <c r="D50" s="322"/>
    </row>
    <row r="51" spans="1:4" ht="13.5" customHeight="1">
      <c r="A51" s="388" t="s">
        <v>363</v>
      </c>
      <c r="B51" s="361">
        <v>30</v>
      </c>
      <c r="C51" s="279">
        <f>B51/'- 3 -'!D51</f>
        <v>2.374574951083756E-05</v>
      </c>
      <c r="D51" s="361">
        <f>B51/'- 7 -'!F51</f>
        <v>0.19607843137254902</v>
      </c>
    </row>
    <row r="52" spans="1:4" ht="13.5" customHeight="1">
      <c r="A52" s="387" t="s">
        <v>364</v>
      </c>
      <c r="B52" s="362">
        <v>12976</v>
      </c>
      <c r="C52" s="278">
        <f>B52/'- 3 -'!D52</f>
        <v>0.005441677056428463</v>
      </c>
      <c r="D52" s="362">
        <f>B52/'- 7 -'!F52</f>
        <v>47.53113553113553</v>
      </c>
    </row>
    <row r="53" spans="2:5" ht="49.5" customHeight="1">
      <c r="B53" s="74"/>
      <c r="C53" s="74"/>
      <c r="D53" s="74"/>
      <c r="E53" s="74"/>
    </row>
    <row r="54" spans="1:5" ht="12" customHeight="1">
      <c r="A54"/>
      <c r="C54" s="74"/>
      <c r="D54" s="74"/>
      <c r="E54" s="74"/>
    </row>
    <row r="55" ht="12" customHeight="1">
      <c r="A55" s="3"/>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7" customWidth="1"/>
    <col min="2" max="2" width="16.83203125" style="67" customWidth="1"/>
    <col min="3" max="3" width="15.83203125" style="67" customWidth="1"/>
    <col min="4" max="4" width="16.83203125" style="67" customWidth="1"/>
    <col min="5" max="5" width="15.83203125" style="67" customWidth="1"/>
    <col min="6" max="6" width="17.83203125" style="67" customWidth="1"/>
    <col min="7" max="16384" width="15.83203125" style="67" customWidth="1"/>
  </cols>
  <sheetData>
    <row r="1" spans="1:7" ht="6.75" customHeight="1">
      <c r="A1" s="65"/>
      <c r="B1" s="116"/>
      <c r="C1" s="116"/>
      <c r="D1" s="116"/>
      <c r="E1" s="116"/>
      <c r="F1" s="116"/>
      <c r="G1" s="116"/>
    </row>
    <row r="2" spans="1:7" ht="15.75" customHeight="1">
      <c r="A2" s="333"/>
      <c r="B2" s="360" t="s">
        <v>12</v>
      </c>
      <c r="C2" s="164"/>
      <c r="D2" s="164"/>
      <c r="E2" s="164"/>
      <c r="F2" s="178"/>
      <c r="G2" s="336" t="s">
        <v>297</v>
      </c>
    </row>
    <row r="3" spans="1:7" ht="15.75" customHeight="1">
      <c r="A3" s="334"/>
      <c r="B3" s="456" t="str">
        <f>OPYEAR</f>
        <v>OPERATING FUND 2002/2003 ACTUAL</v>
      </c>
      <c r="C3" s="167"/>
      <c r="D3" s="167"/>
      <c r="E3" s="167"/>
      <c r="F3" s="179"/>
      <c r="G3" s="182"/>
    </row>
    <row r="4" spans="2:7" ht="15.75" customHeight="1">
      <c r="B4" s="116"/>
      <c r="C4" s="116"/>
      <c r="D4" s="116"/>
      <c r="E4" s="116"/>
      <c r="F4" s="116"/>
      <c r="G4" s="116"/>
    </row>
    <row r="5" spans="2:7" ht="15.75" customHeight="1">
      <c r="B5" s="43"/>
      <c r="C5" s="116"/>
      <c r="D5" s="116"/>
      <c r="E5" s="116"/>
      <c r="F5" s="116"/>
      <c r="G5" s="116"/>
    </row>
    <row r="6" spans="2:7" ht="15.75" customHeight="1">
      <c r="B6" s="270" t="s">
        <v>38</v>
      </c>
      <c r="C6" s="183"/>
      <c r="D6" s="184"/>
      <c r="E6" s="184"/>
      <c r="F6" s="184"/>
      <c r="G6" s="185"/>
    </row>
    <row r="7" spans="2:7" ht="15.75" customHeight="1">
      <c r="B7" s="169"/>
      <c r="C7" s="52"/>
      <c r="D7" s="53"/>
      <c r="E7" s="52"/>
      <c r="F7" s="53" t="s">
        <v>70</v>
      </c>
      <c r="G7" s="52"/>
    </row>
    <row r="8" spans="1:7" ht="15.75" customHeight="1">
      <c r="A8" s="313"/>
      <c r="B8" s="55" t="s">
        <v>50</v>
      </c>
      <c r="C8" s="56"/>
      <c r="D8" s="54" t="s">
        <v>90</v>
      </c>
      <c r="E8" s="56"/>
      <c r="F8" s="54" t="s">
        <v>91</v>
      </c>
      <c r="G8" s="56"/>
    </row>
    <row r="9" spans="1:7" ht="15.75" customHeight="1">
      <c r="A9" s="314" t="s">
        <v>112</v>
      </c>
      <c r="B9" s="109" t="s">
        <v>113</v>
      </c>
      <c r="C9" s="109" t="s">
        <v>114</v>
      </c>
      <c r="D9" s="109" t="s">
        <v>113</v>
      </c>
      <c r="E9" s="109" t="s">
        <v>114</v>
      </c>
      <c r="F9" s="109" t="s">
        <v>113</v>
      </c>
      <c r="G9" s="109" t="s">
        <v>114</v>
      </c>
    </row>
    <row r="10" ht="4.5" customHeight="1">
      <c r="A10" s="62"/>
    </row>
    <row r="11" spans="1:7" ht="13.5" customHeight="1">
      <c r="A11" s="387" t="s">
        <v>327</v>
      </c>
      <c r="B11" s="308">
        <v>56009</v>
      </c>
      <c r="C11" s="278">
        <f>B11/'- 3 -'!D11</f>
        <v>0.005013476009400633</v>
      </c>
      <c r="D11" s="308">
        <v>682751.04</v>
      </c>
      <c r="E11" s="278">
        <f>D11/'- 3 -'!D11</f>
        <v>0.06111439160551577</v>
      </c>
      <c r="F11" s="308">
        <v>1526</v>
      </c>
      <c r="G11" s="278">
        <f>F11/'- 3 -'!D11</f>
        <v>0.00013659526844516715</v>
      </c>
    </row>
    <row r="12" spans="1:7" ht="13.5" customHeight="1">
      <c r="A12" s="388" t="s">
        <v>328</v>
      </c>
      <c r="B12" s="309">
        <v>56020</v>
      </c>
      <c r="C12" s="279">
        <f>B12/'- 3 -'!D12</f>
        <v>0.003051772043414699</v>
      </c>
      <c r="D12" s="309">
        <v>1382531</v>
      </c>
      <c r="E12" s="279">
        <f>D12/'- 3 -'!D12</f>
        <v>0.07531541333370523</v>
      </c>
      <c r="F12" s="309">
        <v>0</v>
      </c>
      <c r="G12" s="279">
        <f>F12/'- 3 -'!D12</f>
        <v>0</v>
      </c>
    </row>
    <row r="13" spans="1:7" ht="13.5" customHeight="1">
      <c r="A13" s="387" t="s">
        <v>329</v>
      </c>
      <c r="B13" s="308">
        <v>90486</v>
      </c>
      <c r="C13" s="278">
        <f>B13/'- 3 -'!D13</f>
        <v>0.0019445941739025</v>
      </c>
      <c r="D13" s="308">
        <v>1101754</v>
      </c>
      <c r="E13" s="278">
        <f>D13/'- 3 -'!D13</f>
        <v>0.023677302670841623</v>
      </c>
      <c r="F13" s="308">
        <v>0</v>
      </c>
      <c r="G13" s="278">
        <f>F13/'- 3 -'!D13</f>
        <v>0</v>
      </c>
    </row>
    <row r="14" spans="1:7" ht="13.5" customHeight="1">
      <c r="A14" s="388" t="s">
        <v>366</v>
      </c>
      <c r="B14" s="309">
        <v>113678</v>
      </c>
      <c r="C14" s="279">
        <f>B14/'- 3 -'!D14</f>
        <v>0.0028792924070142906</v>
      </c>
      <c r="D14" s="309">
        <v>2834117</v>
      </c>
      <c r="E14" s="279">
        <f>D14/'- 3 -'!D14</f>
        <v>0.07178391209108288</v>
      </c>
      <c r="F14" s="309">
        <v>184115</v>
      </c>
      <c r="G14" s="279">
        <f>F14/'- 3 -'!D14</f>
        <v>0.0046633554559143905</v>
      </c>
    </row>
    <row r="15" spans="1:7" ht="13.5" customHeight="1">
      <c r="A15" s="387" t="s">
        <v>330</v>
      </c>
      <c r="B15" s="308">
        <v>35707</v>
      </c>
      <c r="C15" s="278">
        <f>B15/'- 3 -'!D15</f>
        <v>0.0028439202533125573</v>
      </c>
      <c r="D15" s="308">
        <v>798257</v>
      </c>
      <c r="E15" s="278">
        <f>D15/'- 3 -'!D15</f>
        <v>0.0635779888998942</v>
      </c>
      <c r="F15" s="308">
        <v>0</v>
      </c>
      <c r="G15" s="278">
        <f>F15/'- 3 -'!D15</f>
        <v>0</v>
      </c>
    </row>
    <row r="16" spans="1:7" ht="13.5" customHeight="1">
      <c r="A16" s="388" t="s">
        <v>331</v>
      </c>
      <c r="B16" s="309">
        <v>0</v>
      </c>
      <c r="C16" s="279">
        <f>B16/'- 3 -'!D16</f>
        <v>0</v>
      </c>
      <c r="D16" s="309">
        <v>147595</v>
      </c>
      <c r="E16" s="279">
        <f>D16/'- 3 -'!D16</f>
        <v>0.013686672883371501</v>
      </c>
      <c r="F16" s="309">
        <v>510</v>
      </c>
      <c r="G16" s="279">
        <f>F16/'- 3 -'!D16</f>
        <v>4.7292951458514623E-05</v>
      </c>
    </row>
    <row r="17" spans="1:7" ht="13.5" customHeight="1">
      <c r="A17" s="387" t="s">
        <v>332</v>
      </c>
      <c r="B17" s="308">
        <v>47343</v>
      </c>
      <c r="C17" s="278">
        <f>B17/'- 3 -'!D17</f>
        <v>0.003846310708591126</v>
      </c>
      <c r="D17" s="308">
        <v>987322</v>
      </c>
      <c r="E17" s="278">
        <f>D17/'- 3 -'!D17</f>
        <v>0.08021348840224758</v>
      </c>
      <c r="F17" s="308">
        <v>1241</v>
      </c>
      <c r="G17" s="278">
        <f>F17/'- 3 -'!D17</f>
        <v>0.00010082317532394625</v>
      </c>
    </row>
    <row r="18" spans="1:7" ht="13.5" customHeight="1">
      <c r="A18" s="388" t="s">
        <v>333</v>
      </c>
      <c r="B18" s="309">
        <v>111199.28</v>
      </c>
      <c r="C18" s="279">
        <f>B18/'- 3 -'!D18</f>
        <v>0.001537385881853168</v>
      </c>
      <c r="D18" s="309">
        <v>3003087.94</v>
      </c>
      <c r="E18" s="279">
        <f>D18/'- 3 -'!D18</f>
        <v>0.04151919869372818</v>
      </c>
      <c r="F18" s="309">
        <v>52669</v>
      </c>
      <c r="G18" s="279">
        <f>F18/'- 3 -'!D18</f>
        <v>0.0007281753713812222</v>
      </c>
    </row>
    <row r="19" spans="1:7" ht="13.5" customHeight="1">
      <c r="A19" s="387" t="s">
        <v>334</v>
      </c>
      <c r="B19" s="308">
        <v>62360</v>
      </c>
      <c r="C19" s="278">
        <f>B19/'- 3 -'!D19</f>
        <v>0.003527024040096313</v>
      </c>
      <c r="D19" s="308">
        <v>559807</v>
      </c>
      <c r="E19" s="278">
        <f>D19/'- 3 -'!D19</f>
        <v>0.03166216720356313</v>
      </c>
      <c r="F19" s="308">
        <v>17502</v>
      </c>
      <c r="G19" s="278">
        <f>F19/'- 3 -'!D19</f>
        <v>0.000989896965198295</v>
      </c>
    </row>
    <row r="20" spans="1:7" ht="13.5" customHeight="1">
      <c r="A20" s="388" t="s">
        <v>335</v>
      </c>
      <c r="B20" s="309">
        <v>82059</v>
      </c>
      <c r="C20" s="279">
        <f>B20/'- 3 -'!D20</f>
        <v>0.002454095063099662</v>
      </c>
      <c r="D20" s="309">
        <v>1621178</v>
      </c>
      <c r="E20" s="279">
        <f>D20/'- 3 -'!D20</f>
        <v>0.048483712038969326</v>
      </c>
      <c r="F20" s="309">
        <v>2257</v>
      </c>
      <c r="G20" s="279">
        <f>F20/'- 3 -'!D20</f>
        <v>6.749890392785602E-05</v>
      </c>
    </row>
    <row r="21" spans="1:7" ht="13.5" customHeight="1">
      <c r="A21" s="387" t="s">
        <v>336</v>
      </c>
      <c r="B21" s="308">
        <v>115545</v>
      </c>
      <c r="C21" s="278">
        <f>B21/'- 3 -'!D21</f>
        <v>0.004966820376098497</v>
      </c>
      <c r="D21" s="308">
        <v>1452358</v>
      </c>
      <c r="E21" s="278">
        <f>D21/'- 3 -'!D21</f>
        <v>0.0624310987735485</v>
      </c>
      <c r="F21" s="308">
        <v>10145</v>
      </c>
      <c r="G21" s="278">
        <f>F21/'- 3 -'!D21</f>
        <v>0.00043609323393932454</v>
      </c>
    </row>
    <row r="22" spans="1:7" ht="13.5" customHeight="1">
      <c r="A22" s="388" t="s">
        <v>337</v>
      </c>
      <c r="B22" s="309">
        <v>52486</v>
      </c>
      <c r="C22" s="279">
        <f>B22/'- 3 -'!D22</f>
        <v>0.004099628005975337</v>
      </c>
      <c r="D22" s="309">
        <v>291494</v>
      </c>
      <c r="E22" s="279">
        <f>D22/'- 3 -'!D22</f>
        <v>0.022768299469835288</v>
      </c>
      <c r="F22" s="309">
        <v>1421</v>
      </c>
      <c r="G22" s="279">
        <f>F22/'- 3 -'!D22</f>
        <v>0.00011099286279181027</v>
      </c>
    </row>
    <row r="23" spans="1:7" ht="13.5" customHeight="1">
      <c r="A23" s="387" t="s">
        <v>338</v>
      </c>
      <c r="B23" s="308">
        <v>42409</v>
      </c>
      <c r="C23" s="278">
        <f>B23/'- 3 -'!D23</f>
        <v>0.0039616766704241675</v>
      </c>
      <c r="D23" s="308">
        <v>1109889</v>
      </c>
      <c r="E23" s="278">
        <f>D23/'- 3 -'!D23</f>
        <v>0.10368132608786834</v>
      </c>
      <c r="F23" s="308">
        <v>0</v>
      </c>
      <c r="G23" s="278">
        <f>F23/'- 3 -'!D23</f>
        <v>0</v>
      </c>
    </row>
    <row r="24" spans="1:7" ht="13.5" customHeight="1">
      <c r="A24" s="388" t="s">
        <v>339</v>
      </c>
      <c r="B24" s="309">
        <v>107405</v>
      </c>
      <c r="C24" s="279">
        <f>B24/'- 3 -'!D24</f>
        <v>0.0032212439211010122</v>
      </c>
      <c r="D24" s="309">
        <v>1520282</v>
      </c>
      <c r="E24" s="279">
        <f>D24/'- 3 -'!D24</f>
        <v>0.04559563475498616</v>
      </c>
      <c r="F24" s="309">
        <v>7580</v>
      </c>
      <c r="G24" s="279">
        <f>F24/'- 3 -'!D24</f>
        <v>0.0002273360543917478</v>
      </c>
    </row>
    <row r="25" spans="1:7" ht="13.5" customHeight="1">
      <c r="A25" s="387" t="s">
        <v>340</v>
      </c>
      <c r="B25" s="308">
        <v>186215</v>
      </c>
      <c r="C25" s="278">
        <f>B25/'- 3 -'!D25</f>
        <v>0.0017995827372454096</v>
      </c>
      <c r="D25" s="308">
        <v>1197879</v>
      </c>
      <c r="E25" s="278">
        <f>D25/'- 3 -'!D25</f>
        <v>0.011576308942398809</v>
      </c>
      <c r="F25" s="308">
        <v>3635</v>
      </c>
      <c r="G25" s="278">
        <f>F25/'- 3 -'!D25</f>
        <v>3.5128659076267025E-05</v>
      </c>
    </row>
    <row r="26" spans="1:7" ht="13.5" customHeight="1">
      <c r="A26" s="388" t="s">
        <v>341</v>
      </c>
      <c r="B26" s="309">
        <v>122246.8</v>
      </c>
      <c r="C26" s="279">
        <f>B26/'- 3 -'!D26</f>
        <v>0.004735246328800574</v>
      </c>
      <c r="D26" s="309">
        <v>1706126.21</v>
      </c>
      <c r="E26" s="279">
        <f>D26/'- 3 -'!D26</f>
        <v>0.06608702945494636</v>
      </c>
      <c r="F26" s="309">
        <v>0</v>
      </c>
      <c r="G26" s="279">
        <f>F26/'- 3 -'!D26</f>
        <v>0</v>
      </c>
    </row>
    <row r="27" spans="1:7" ht="13.5" customHeight="1">
      <c r="A27" s="387" t="s">
        <v>342</v>
      </c>
      <c r="B27" s="308">
        <v>0</v>
      </c>
      <c r="C27" s="278">
        <f>B27/'- 3 -'!D27</f>
        <v>0</v>
      </c>
      <c r="D27" s="308">
        <v>1048</v>
      </c>
      <c r="E27" s="278">
        <f>D27/'- 3 -'!D27</f>
        <v>4.079354817338519E-05</v>
      </c>
      <c r="F27" s="308">
        <v>49400</v>
      </c>
      <c r="G27" s="278">
        <f>F27/'- 3 -'!D27</f>
        <v>0.0019229019845088057</v>
      </c>
    </row>
    <row r="28" spans="1:7" ht="13.5" customHeight="1">
      <c r="A28" s="388" t="s">
        <v>343</v>
      </c>
      <c r="B28" s="309">
        <v>67195</v>
      </c>
      <c r="C28" s="279">
        <f>B28/'- 3 -'!D28</f>
        <v>0.00417544019165772</v>
      </c>
      <c r="D28" s="309">
        <v>1659367</v>
      </c>
      <c r="E28" s="279">
        <f>D28/'- 3 -'!D28</f>
        <v>0.10311165510098215</v>
      </c>
      <c r="F28" s="309">
        <v>1058</v>
      </c>
      <c r="G28" s="279">
        <f>F28/'- 3 -'!D28</f>
        <v>6.574322081663617E-05</v>
      </c>
    </row>
    <row r="29" spans="1:7" ht="13.5" customHeight="1">
      <c r="A29" s="387" t="s">
        <v>344</v>
      </c>
      <c r="B29" s="308">
        <v>151069</v>
      </c>
      <c r="C29" s="278">
        <f>B29/'- 3 -'!D29</f>
        <v>0.0015479052170796462</v>
      </c>
      <c r="D29" s="308">
        <v>1068928</v>
      </c>
      <c r="E29" s="278">
        <f>D29/'- 3 -'!D29</f>
        <v>0.010952605947497581</v>
      </c>
      <c r="F29" s="308">
        <v>22674</v>
      </c>
      <c r="G29" s="278">
        <f>F29/'- 3 -'!D29</f>
        <v>0.0002323256451824259</v>
      </c>
    </row>
    <row r="30" spans="1:7" ht="13.5" customHeight="1">
      <c r="A30" s="388" t="s">
        <v>345</v>
      </c>
      <c r="B30" s="309">
        <v>32259</v>
      </c>
      <c r="C30" s="279">
        <f>B30/'- 3 -'!D30</f>
        <v>0.0033481239338292224</v>
      </c>
      <c r="D30" s="309">
        <v>837668</v>
      </c>
      <c r="E30" s="279">
        <f>D30/'- 3 -'!D30</f>
        <v>0.08694058338457042</v>
      </c>
      <c r="F30" s="309">
        <v>0</v>
      </c>
      <c r="G30" s="279">
        <f>F30/'- 3 -'!D30</f>
        <v>0</v>
      </c>
    </row>
    <row r="31" spans="1:7" ht="13.5" customHeight="1">
      <c r="A31" s="387" t="s">
        <v>346</v>
      </c>
      <c r="B31" s="308">
        <v>53192</v>
      </c>
      <c r="C31" s="278">
        <f>B31/'- 3 -'!D31</f>
        <v>0.0021804344783784377</v>
      </c>
      <c r="D31" s="308">
        <v>686969</v>
      </c>
      <c r="E31" s="278">
        <f>D31/'- 3 -'!D31</f>
        <v>0.02816007845497738</v>
      </c>
      <c r="F31" s="308">
        <v>5657</v>
      </c>
      <c r="G31" s="278">
        <f>F31/'- 3 -'!D31</f>
        <v>0.00023189046932220675</v>
      </c>
    </row>
    <row r="32" spans="1:7" ht="13.5" customHeight="1">
      <c r="A32" s="388" t="s">
        <v>347</v>
      </c>
      <c r="B32" s="309">
        <v>45126</v>
      </c>
      <c r="C32" s="279">
        <f>B32/'- 3 -'!D32</f>
        <v>0.0024824611473870948</v>
      </c>
      <c r="D32" s="309">
        <v>1397236</v>
      </c>
      <c r="E32" s="279">
        <f>D32/'- 3 -'!D32</f>
        <v>0.07686442591256826</v>
      </c>
      <c r="F32" s="309">
        <v>0</v>
      </c>
      <c r="G32" s="279">
        <f>F32/'- 3 -'!D32</f>
        <v>0</v>
      </c>
    </row>
    <row r="33" spans="1:7" ht="13.5" customHeight="1">
      <c r="A33" s="387" t="s">
        <v>348</v>
      </c>
      <c r="B33" s="308">
        <v>94583</v>
      </c>
      <c r="C33" s="278">
        <f>B33/'- 3 -'!D33</f>
        <v>0.004363309815664081</v>
      </c>
      <c r="D33" s="308">
        <v>1870537</v>
      </c>
      <c r="E33" s="278">
        <f>D33/'- 3 -'!D33</f>
        <v>0.0862917485453289</v>
      </c>
      <c r="F33" s="308">
        <v>0</v>
      </c>
      <c r="G33" s="278">
        <f>F33/'- 3 -'!D33</f>
        <v>0</v>
      </c>
    </row>
    <row r="34" spans="1:7" ht="13.5" customHeight="1">
      <c r="A34" s="388" t="s">
        <v>349</v>
      </c>
      <c r="B34" s="309">
        <v>69777</v>
      </c>
      <c r="C34" s="279">
        <f>B34/'- 3 -'!D34</f>
        <v>0.004246342457589347</v>
      </c>
      <c r="D34" s="309">
        <v>1456140</v>
      </c>
      <c r="E34" s="279">
        <f>D34/'- 3 -'!D34</f>
        <v>0.0886147169725576</v>
      </c>
      <c r="F34" s="309">
        <v>1660</v>
      </c>
      <c r="G34" s="279">
        <f>F34/'- 3 -'!D34</f>
        <v>0.00010102080169107752</v>
      </c>
    </row>
    <row r="35" spans="1:7" ht="13.5" customHeight="1">
      <c r="A35" s="387" t="s">
        <v>350</v>
      </c>
      <c r="B35" s="308">
        <v>282498</v>
      </c>
      <c r="C35" s="278">
        <f>B35/'- 3 -'!D35</f>
        <v>0.0023084772961039744</v>
      </c>
      <c r="D35" s="308">
        <v>1792943</v>
      </c>
      <c r="E35" s="278">
        <f>D35/'- 3 -'!D35</f>
        <v>0.014651318624232908</v>
      </c>
      <c r="F35" s="308">
        <v>12923</v>
      </c>
      <c r="G35" s="278">
        <f>F35/'- 3 -'!D35</f>
        <v>0.0001056023479725579</v>
      </c>
    </row>
    <row r="36" spans="1:7" ht="13.5" customHeight="1">
      <c r="A36" s="388" t="s">
        <v>351</v>
      </c>
      <c r="B36" s="309">
        <v>40037</v>
      </c>
      <c r="C36" s="279">
        <f>B36/'- 3 -'!D36</f>
        <v>0.002514612886095642</v>
      </c>
      <c r="D36" s="309">
        <v>1010278</v>
      </c>
      <c r="E36" s="279">
        <f>D36/'- 3 -'!D36</f>
        <v>0.06345275813220104</v>
      </c>
      <c r="F36" s="309">
        <v>0</v>
      </c>
      <c r="G36" s="279">
        <f>F36/'- 3 -'!D36</f>
        <v>0</v>
      </c>
    </row>
    <row r="37" spans="1:7" ht="13.5" customHeight="1">
      <c r="A37" s="387" t="s">
        <v>352</v>
      </c>
      <c r="B37" s="308">
        <v>82172</v>
      </c>
      <c r="C37" s="278">
        <f>B37/'- 3 -'!D37</f>
        <v>0.003513105891805898</v>
      </c>
      <c r="D37" s="308">
        <v>1434566</v>
      </c>
      <c r="E37" s="278">
        <f>D37/'- 3 -'!D37</f>
        <v>0.06133211150737989</v>
      </c>
      <c r="F37" s="308">
        <v>6590</v>
      </c>
      <c r="G37" s="278">
        <f>F37/'- 3 -'!D37</f>
        <v>0.00028174278132454936</v>
      </c>
    </row>
    <row r="38" spans="1:7" ht="13.5" customHeight="1">
      <c r="A38" s="388" t="s">
        <v>353</v>
      </c>
      <c r="B38" s="309">
        <v>116663</v>
      </c>
      <c r="C38" s="279">
        <f>B38/'- 3 -'!D38</f>
        <v>0.001895708848488167</v>
      </c>
      <c r="D38" s="309">
        <v>1611729</v>
      </c>
      <c r="E38" s="279">
        <f>D38/'- 3 -'!D38</f>
        <v>0.02618969961911647</v>
      </c>
      <c r="F38" s="309">
        <v>0</v>
      </c>
      <c r="G38" s="279">
        <f>F38/'- 3 -'!D38</f>
        <v>0</v>
      </c>
    </row>
    <row r="39" spans="1:7" ht="13.5" customHeight="1">
      <c r="A39" s="387" t="s">
        <v>354</v>
      </c>
      <c r="B39" s="308">
        <v>44331</v>
      </c>
      <c r="C39" s="278">
        <f>B39/'- 3 -'!D39</f>
        <v>0.0030195549192396365</v>
      </c>
      <c r="D39" s="308">
        <v>1230346</v>
      </c>
      <c r="E39" s="278">
        <f>D39/'- 3 -'!D39</f>
        <v>0.0838035983096887</v>
      </c>
      <c r="F39" s="308">
        <v>5056</v>
      </c>
      <c r="G39" s="278">
        <f>F39/'- 3 -'!D39</f>
        <v>0.00034438360676897884</v>
      </c>
    </row>
    <row r="40" spans="1:7" ht="13.5" customHeight="1">
      <c r="A40" s="388" t="s">
        <v>355</v>
      </c>
      <c r="B40" s="309">
        <v>72828</v>
      </c>
      <c r="C40" s="279">
        <f>B40/'- 3 -'!D40</f>
        <v>0.0011732984984766115</v>
      </c>
      <c r="D40" s="309">
        <v>895578</v>
      </c>
      <c r="E40" s="279">
        <f>D40/'- 3 -'!D40</f>
        <v>0.014428246315547408</v>
      </c>
      <c r="F40" s="309">
        <v>12634</v>
      </c>
      <c r="G40" s="279">
        <f>F40/'- 3 -'!D40</f>
        <v>0.00020354057820829225</v>
      </c>
    </row>
    <row r="41" spans="1:7" ht="13.5" customHeight="1">
      <c r="A41" s="387" t="s">
        <v>356</v>
      </c>
      <c r="B41" s="308">
        <v>231779</v>
      </c>
      <c r="C41" s="278">
        <f>B41/'- 3 -'!D41</f>
        <v>0.006171155381965361</v>
      </c>
      <c r="D41" s="308">
        <v>2680005</v>
      </c>
      <c r="E41" s="278">
        <f>D41/'- 3 -'!D41</f>
        <v>0.07135558993456731</v>
      </c>
      <c r="F41" s="308">
        <v>6345</v>
      </c>
      <c r="G41" s="278">
        <f>F41/'- 3 -'!D41</f>
        <v>0.000168936706511678</v>
      </c>
    </row>
    <row r="42" spans="1:7" ht="13.5" customHeight="1">
      <c r="A42" s="388" t="s">
        <v>357</v>
      </c>
      <c r="B42" s="309">
        <v>57954</v>
      </c>
      <c r="C42" s="279">
        <f>B42/'- 3 -'!D42</f>
        <v>0.0039858190289330546</v>
      </c>
      <c r="D42" s="309">
        <v>1051748</v>
      </c>
      <c r="E42" s="279">
        <f>D42/'- 3 -'!D42</f>
        <v>0.07233456175660492</v>
      </c>
      <c r="F42" s="309">
        <v>0</v>
      </c>
      <c r="G42" s="279">
        <f>F42/'- 3 -'!D42</f>
        <v>0</v>
      </c>
    </row>
    <row r="43" spans="1:7" ht="13.5" customHeight="1">
      <c r="A43" s="387" t="s">
        <v>358</v>
      </c>
      <c r="B43" s="308">
        <v>10406</v>
      </c>
      <c r="C43" s="278">
        <f>B43/'- 3 -'!D43</f>
        <v>0.001141690907209801</v>
      </c>
      <c r="D43" s="308">
        <v>742926</v>
      </c>
      <c r="E43" s="278">
        <f>D43/'- 3 -'!D43</f>
        <v>0.08150988457906484</v>
      </c>
      <c r="F43" s="308">
        <v>0</v>
      </c>
      <c r="G43" s="278">
        <f>F43/'- 3 -'!D43</f>
        <v>0</v>
      </c>
    </row>
    <row r="44" spans="1:7" ht="13.5" customHeight="1">
      <c r="A44" s="388" t="s">
        <v>359</v>
      </c>
      <c r="B44" s="309">
        <v>21978</v>
      </c>
      <c r="C44" s="279">
        <f>B44/'- 3 -'!D44</f>
        <v>0.0033578363514254386</v>
      </c>
      <c r="D44" s="309">
        <v>733250</v>
      </c>
      <c r="E44" s="279">
        <f>D44/'- 3 -'!D44</f>
        <v>0.11202718649024947</v>
      </c>
      <c r="F44" s="309">
        <v>2805</v>
      </c>
      <c r="G44" s="279">
        <f>F44/'- 3 -'!D44</f>
        <v>0.00042855268749423766</v>
      </c>
    </row>
    <row r="45" spans="1:7" ht="13.5" customHeight="1">
      <c r="A45" s="387" t="s">
        <v>360</v>
      </c>
      <c r="B45" s="308">
        <v>5959</v>
      </c>
      <c r="C45" s="278">
        <f>B45/'- 3 -'!D45</f>
        <v>0.000602600922255481</v>
      </c>
      <c r="D45" s="308">
        <v>321767</v>
      </c>
      <c r="E45" s="278">
        <f>D45/'- 3 -'!D45</f>
        <v>0.03253852843621066</v>
      </c>
      <c r="F45" s="308">
        <v>6419</v>
      </c>
      <c r="G45" s="278">
        <f>F45/'- 3 -'!D45</f>
        <v>0.0006491181943208478</v>
      </c>
    </row>
    <row r="46" spans="1:7" ht="13.5" customHeight="1">
      <c r="A46" s="388" t="s">
        <v>361</v>
      </c>
      <c r="B46" s="309">
        <v>171292</v>
      </c>
      <c r="C46" s="279">
        <f>B46/'- 3 -'!D46</f>
        <v>0.0006836134247896764</v>
      </c>
      <c r="D46" s="309">
        <v>2825643</v>
      </c>
      <c r="E46" s="279">
        <f>D46/'- 3 -'!D46</f>
        <v>0.011276927635049947</v>
      </c>
      <c r="F46" s="309">
        <v>0</v>
      </c>
      <c r="G46" s="279">
        <f>F46/'- 3 -'!D46</f>
        <v>0</v>
      </c>
    </row>
    <row r="47" spans="1:7" ht="13.5" customHeight="1">
      <c r="A47" s="387" t="s">
        <v>365</v>
      </c>
      <c r="B47" s="308">
        <v>0</v>
      </c>
      <c r="C47" s="278">
        <f>B47/'- 3 -'!D47</f>
        <v>0</v>
      </c>
      <c r="D47" s="308">
        <v>0</v>
      </c>
      <c r="E47" s="278">
        <f>D47/'- 3 -'!D47</f>
        <v>0</v>
      </c>
      <c r="F47" s="308">
        <v>0</v>
      </c>
      <c r="G47" s="278">
        <f>F47/'- 3 -'!D47</f>
        <v>0</v>
      </c>
    </row>
    <row r="48" spans="1:7" ht="4.5" customHeight="1">
      <c r="A48" s="389"/>
      <c r="B48" s="310"/>
      <c r="C48" s="162"/>
      <c r="D48" s="310"/>
      <c r="E48" s="162"/>
      <c r="F48" s="310"/>
      <c r="G48" s="162"/>
    </row>
    <row r="49" spans="1:7" ht="13.5" customHeight="1">
      <c r="A49" s="383" t="s">
        <v>362</v>
      </c>
      <c r="B49" s="311">
        <f>SUM(B11:B47)</f>
        <v>2932266.08</v>
      </c>
      <c r="C49" s="81">
        <f>B49/'- 3 -'!D49</f>
        <v>0.0021760824159904727</v>
      </c>
      <c r="D49" s="311">
        <f>SUM(D11:D47)</f>
        <v>45705100.19</v>
      </c>
      <c r="E49" s="81">
        <f>D49/'- 3 -'!D49</f>
        <v>0.03391849925315843</v>
      </c>
      <c r="F49" s="311">
        <f>SUM(F11:F47)</f>
        <v>415822</v>
      </c>
      <c r="G49" s="81">
        <f>F49/'- 3 -'!D49</f>
        <v>0.00030858827872196044</v>
      </c>
    </row>
    <row r="50" spans="1:7" ht="4.5" customHeight="1">
      <c r="A50" s="389" t="s">
        <v>15</v>
      </c>
      <c r="B50" s="310"/>
      <c r="C50" s="162"/>
      <c r="D50" s="310"/>
      <c r="E50" s="162"/>
      <c r="F50" s="310"/>
      <c r="G50" s="162"/>
    </row>
    <row r="51" spans="1:7" ht="13.5" customHeight="1">
      <c r="A51" s="388" t="s">
        <v>363</v>
      </c>
      <c r="B51" s="309">
        <v>0</v>
      </c>
      <c r="C51" s="279">
        <f>B51/'- 3 -'!D51</f>
        <v>0</v>
      </c>
      <c r="D51" s="309">
        <v>58763</v>
      </c>
      <c r="E51" s="279">
        <f>D51/'- 3 -'!D51</f>
        <v>0.04651238261684492</v>
      </c>
      <c r="F51" s="309">
        <v>0</v>
      </c>
      <c r="G51" s="279">
        <f>F51/'- 3 -'!D51</f>
        <v>0</v>
      </c>
    </row>
    <row r="52" spans="1:7" ht="13.5" customHeight="1">
      <c r="A52" s="387" t="s">
        <v>364</v>
      </c>
      <c r="B52" s="308">
        <v>0</v>
      </c>
      <c r="C52" s="278">
        <f>B52/'- 3 -'!D52</f>
        <v>0</v>
      </c>
      <c r="D52" s="308">
        <v>10468</v>
      </c>
      <c r="E52" s="278">
        <f>D52/'- 3 -'!D52</f>
        <v>0.004389910251748856</v>
      </c>
      <c r="F52" s="308">
        <v>0</v>
      </c>
      <c r="G52" s="278">
        <f>F52/'- 3 -'!D52</f>
        <v>0</v>
      </c>
    </row>
    <row r="53" ht="49.5" customHeight="1"/>
    <row r="54" spans="1:5" ht="12" customHeight="1">
      <c r="A54" s="3"/>
      <c r="D54" s="124"/>
      <c r="E54" s="124"/>
    </row>
    <row r="55" spans="1:5" ht="12" customHeight="1">
      <c r="A55" s="3"/>
      <c r="D55" s="124"/>
      <c r="E55" s="124"/>
    </row>
    <row r="56" spans="1:5" ht="12" customHeight="1">
      <c r="A56" s="3"/>
      <c r="D56" s="124"/>
      <c r="E56" s="124"/>
    </row>
    <row r="57" spans="1:5" ht="12" customHeight="1">
      <c r="A57" s="3"/>
      <c r="D57" s="124"/>
      <c r="E57" s="124"/>
    </row>
    <row r="58" ht="12" customHeight="1">
      <c r="A58" s="3"/>
    </row>
    <row r="59" ht="12" customHeight="1"/>
    <row r="60"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7" customWidth="1"/>
    <col min="2" max="2" width="19.83203125" style="67" customWidth="1"/>
    <col min="3" max="3" width="15.83203125" style="67" customWidth="1"/>
    <col min="4" max="4" width="19.83203125" style="67" customWidth="1"/>
    <col min="5" max="5" width="15.83203125" style="67" customWidth="1"/>
    <col min="6" max="6" width="11.83203125" style="67" customWidth="1"/>
    <col min="7" max="16384" width="15.83203125" style="67" customWidth="1"/>
  </cols>
  <sheetData>
    <row r="1" spans="1:7" ht="6.75" customHeight="1">
      <c r="A1" s="65"/>
      <c r="B1" s="116"/>
      <c r="C1" s="116"/>
      <c r="D1" s="116"/>
      <c r="E1" s="116"/>
      <c r="F1" s="116"/>
      <c r="G1" s="116"/>
    </row>
    <row r="2" spans="1:7" ht="15.75" customHeight="1">
      <c r="A2" s="333"/>
      <c r="B2" s="360" t="s">
        <v>12</v>
      </c>
      <c r="C2" s="164"/>
      <c r="D2" s="164"/>
      <c r="E2" s="164"/>
      <c r="F2" s="178"/>
      <c r="G2" s="336" t="s">
        <v>296</v>
      </c>
    </row>
    <row r="3" spans="1:7" ht="15.75" customHeight="1">
      <c r="A3" s="334"/>
      <c r="B3" s="456" t="str">
        <f>OPYEAR</f>
        <v>OPERATING FUND 2002/2003 ACTUAL</v>
      </c>
      <c r="C3" s="167"/>
      <c r="D3" s="167"/>
      <c r="E3" s="167"/>
      <c r="F3" s="179"/>
      <c r="G3" s="182"/>
    </row>
    <row r="4" spans="2:7" ht="15.75" customHeight="1">
      <c r="B4" s="116"/>
      <c r="C4" s="116"/>
      <c r="D4" s="116"/>
      <c r="E4" s="116"/>
      <c r="F4" s="116"/>
      <c r="G4" s="116"/>
    </row>
    <row r="5" spans="2:7" ht="15.75" customHeight="1">
      <c r="B5" s="43"/>
      <c r="C5" s="116"/>
      <c r="D5" s="116"/>
      <c r="E5" s="116"/>
      <c r="F5" s="116"/>
      <c r="G5" s="116"/>
    </row>
    <row r="6" spans="2:7" ht="15.75" customHeight="1">
      <c r="B6" s="270" t="s">
        <v>231</v>
      </c>
      <c r="C6" s="127"/>
      <c r="D6" s="103"/>
      <c r="E6" s="104"/>
      <c r="F6" s="116"/>
      <c r="G6" s="125"/>
    </row>
    <row r="7" spans="2:7" ht="15.75" customHeight="1">
      <c r="B7" s="53" t="s">
        <v>71</v>
      </c>
      <c r="C7" s="52"/>
      <c r="D7" s="53" t="s">
        <v>370</v>
      </c>
      <c r="E7" s="52"/>
      <c r="F7" s="146"/>
      <c r="G7" s="116"/>
    </row>
    <row r="8" spans="1:7" ht="15.75" customHeight="1">
      <c r="A8" s="313"/>
      <c r="B8" s="55" t="s">
        <v>92</v>
      </c>
      <c r="C8" s="56"/>
      <c r="D8" s="54" t="s">
        <v>308</v>
      </c>
      <c r="E8" s="56"/>
      <c r="F8" s="116"/>
      <c r="G8" s="116"/>
    </row>
    <row r="9" spans="1:5" ht="15.75" customHeight="1">
      <c r="A9" s="314" t="s">
        <v>112</v>
      </c>
      <c r="B9" s="109" t="s">
        <v>113</v>
      </c>
      <c r="C9" s="109" t="s">
        <v>114</v>
      </c>
      <c r="D9" s="109" t="s">
        <v>113</v>
      </c>
      <c r="E9" s="109" t="s">
        <v>114</v>
      </c>
    </row>
    <row r="10" ht="4.5" customHeight="1">
      <c r="A10" s="62"/>
    </row>
    <row r="11" spans="1:5" ht="13.5" customHeight="1">
      <c r="A11" s="387" t="s">
        <v>327</v>
      </c>
      <c r="B11" s="308">
        <v>0</v>
      </c>
      <c r="C11" s="278">
        <f>B11/'- 3 -'!D11</f>
        <v>0</v>
      </c>
      <c r="D11" s="308">
        <v>61855</v>
      </c>
      <c r="E11" s="278">
        <f>D11/'- 3 -'!D11</f>
        <v>0.0055367629945450945</v>
      </c>
    </row>
    <row r="12" spans="1:5" ht="13.5" customHeight="1">
      <c r="A12" s="388" t="s">
        <v>328</v>
      </c>
      <c r="B12" s="309">
        <v>0</v>
      </c>
      <c r="C12" s="279">
        <f>B12/'- 3 -'!D12</f>
        <v>0</v>
      </c>
      <c r="D12" s="309">
        <v>26335</v>
      </c>
      <c r="E12" s="279">
        <f>D12/'- 3 -'!D12</f>
        <v>0.001434637928656303</v>
      </c>
    </row>
    <row r="13" spans="1:5" ht="13.5" customHeight="1">
      <c r="A13" s="387" t="s">
        <v>329</v>
      </c>
      <c r="B13" s="308">
        <v>0</v>
      </c>
      <c r="C13" s="278">
        <f>B13/'- 3 -'!D13</f>
        <v>0</v>
      </c>
      <c r="D13" s="308">
        <v>39949</v>
      </c>
      <c r="E13" s="278">
        <f>D13/'- 3 -'!D13</f>
        <v>0.0008585260996533273</v>
      </c>
    </row>
    <row r="14" spans="1:5" ht="13.5" customHeight="1">
      <c r="A14" s="388" t="s">
        <v>366</v>
      </c>
      <c r="B14" s="309">
        <v>12960</v>
      </c>
      <c r="C14" s="279">
        <f>B14/'- 3 -'!D14</f>
        <v>0.0003282572669725471</v>
      </c>
      <c r="D14" s="309">
        <v>120602</v>
      </c>
      <c r="E14" s="279">
        <f>D14/'- 3 -'!D14</f>
        <v>0.0030546668913135123</v>
      </c>
    </row>
    <row r="15" spans="1:5" ht="13.5" customHeight="1">
      <c r="A15" s="387" t="s">
        <v>330</v>
      </c>
      <c r="B15" s="308">
        <v>0</v>
      </c>
      <c r="C15" s="278">
        <f>B15/'- 3 -'!D15</f>
        <v>0</v>
      </c>
      <c r="D15" s="308">
        <v>41232</v>
      </c>
      <c r="E15" s="278">
        <f>D15/'- 3 -'!D15</f>
        <v>0.003283964485523381</v>
      </c>
    </row>
    <row r="16" spans="1:5" ht="13.5" customHeight="1">
      <c r="A16" s="388" t="s">
        <v>331</v>
      </c>
      <c r="B16" s="309">
        <v>0</v>
      </c>
      <c r="C16" s="279">
        <f>B16/'- 3 -'!D16</f>
        <v>0</v>
      </c>
      <c r="D16" s="309">
        <v>42752</v>
      </c>
      <c r="E16" s="279">
        <f>D16/'- 3 -'!D16</f>
        <v>0.0039644475701067</v>
      </c>
    </row>
    <row r="17" spans="1:5" ht="13.5" customHeight="1">
      <c r="A17" s="387" t="s">
        <v>332</v>
      </c>
      <c r="B17" s="308">
        <v>0</v>
      </c>
      <c r="C17" s="278">
        <f>B17/'- 3 -'!D17</f>
        <v>0</v>
      </c>
      <c r="D17" s="308">
        <v>28316</v>
      </c>
      <c r="E17" s="278">
        <f>D17/'- 3 -'!D17</f>
        <v>0.002300490759446303</v>
      </c>
    </row>
    <row r="18" spans="1:5" ht="13.5" customHeight="1">
      <c r="A18" s="388" t="s">
        <v>333</v>
      </c>
      <c r="B18" s="309">
        <v>2183249</v>
      </c>
      <c r="C18" s="279">
        <f>B18/'- 3 -'!D18</f>
        <v>0.030184513687229336</v>
      </c>
      <c r="D18" s="309">
        <v>401386</v>
      </c>
      <c r="E18" s="279">
        <f>D18/'- 3 -'!D18</f>
        <v>0.005549362995637344</v>
      </c>
    </row>
    <row r="19" spans="1:5" ht="13.5" customHeight="1">
      <c r="A19" s="387" t="s">
        <v>334</v>
      </c>
      <c r="B19" s="308">
        <v>0</v>
      </c>
      <c r="C19" s="278">
        <f>B19/'- 3 -'!D19</f>
        <v>0</v>
      </c>
      <c r="D19" s="308">
        <v>45437</v>
      </c>
      <c r="E19" s="278">
        <f>D19/'- 3 -'!D19</f>
        <v>0.0025698747804659425</v>
      </c>
    </row>
    <row r="20" spans="1:5" ht="13.5" customHeight="1">
      <c r="A20" s="388" t="s">
        <v>335</v>
      </c>
      <c r="B20" s="309">
        <v>0</v>
      </c>
      <c r="C20" s="279">
        <f>B20/'- 3 -'!D20</f>
        <v>0</v>
      </c>
      <c r="D20" s="309">
        <v>75667</v>
      </c>
      <c r="E20" s="279">
        <f>D20/'- 3 -'!D20</f>
        <v>0.002262932903637165</v>
      </c>
    </row>
    <row r="21" spans="1:5" ht="13.5" customHeight="1">
      <c r="A21" s="387" t="s">
        <v>336</v>
      </c>
      <c r="B21" s="308">
        <v>0</v>
      </c>
      <c r="C21" s="278">
        <f>B21/'- 3 -'!D21</f>
        <v>0</v>
      </c>
      <c r="D21" s="308">
        <v>59872</v>
      </c>
      <c r="E21" s="278">
        <f>D21/'- 3 -'!D21</f>
        <v>0.00257365934967129</v>
      </c>
    </row>
    <row r="22" spans="1:5" ht="13.5" customHeight="1">
      <c r="A22" s="388" t="s">
        <v>337</v>
      </c>
      <c r="B22" s="309">
        <v>0</v>
      </c>
      <c r="C22" s="279">
        <f>B22/'- 3 -'!D22</f>
        <v>0</v>
      </c>
      <c r="D22" s="309">
        <v>30509</v>
      </c>
      <c r="E22" s="279">
        <f>D22/'- 3 -'!D22</f>
        <v>0.002383026918307769</v>
      </c>
    </row>
    <row r="23" spans="1:5" ht="13.5" customHeight="1">
      <c r="A23" s="387" t="s">
        <v>338</v>
      </c>
      <c r="B23" s="308">
        <v>0</v>
      </c>
      <c r="C23" s="278">
        <f>B23/'- 3 -'!D23</f>
        <v>0</v>
      </c>
      <c r="D23" s="308">
        <v>0</v>
      </c>
      <c r="E23" s="278">
        <f>D23/'- 3 -'!D23</f>
        <v>0</v>
      </c>
    </row>
    <row r="24" spans="1:5" ht="13.5" customHeight="1">
      <c r="A24" s="388" t="s">
        <v>339</v>
      </c>
      <c r="B24" s="309">
        <v>0</v>
      </c>
      <c r="C24" s="279">
        <f>B24/'- 3 -'!D24</f>
        <v>0</v>
      </c>
      <c r="D24" s="309">
        <v>66709</v>
      </c>
      <c r="E24" s="279">
        <f>D24/'- 3 -'!D24</f>
        <v>0.0020007072364669003</v>
      </c>
    </row>
    <row r="25" spans="1:5" ht="13.5" customHeight="1">
      <c r="A25" s="387" t="s">
        <v>340</v>
      </c>
      <c r="B25" s="308">
        <v>0</v>
      </c>
      <c r="C25" s="278">
        <f>B25/'- 3 -'!D25</f>
        <v>0</v>
      </c>
      <c r="D25" s="308">
        <v>156415</v>
      </c>
      <c r="E25" s="278">
        <f>D25/'- 3 -'!D25</f>
        <v>0.0015115953808567555</v>
      </c>
    </row>
    <row r="26" spans="1:5" ht="13.5" customHeight="1">
      <c r="A26" s="388" t="s">
        <v>341</v>
      </c>
      <c r="B26" s="309">
        <v>0</v>
      </c>
      <c r="C26" s="279">
        <f>B26/'- 3 -'!D26</f>
        <v>0</v>
      </c>
      <c r="D26" s="309">
        <v>87163.28</v>
      </c>
      <c r="E26" s="279">
        <f>D26/'- 3 -'!D26</f>
        <v>0.00337628143743817</v>
      </c>
    </row>
    <row r="27" spans="1:5" ht="13.5" customHeight="1">
      <c r="A27" s="387" t="s">
        <v>342</v>
      </c>
      <c r="B27" s="308">
        <v>0</v>
      </c>
      <c r="C27" s="278">
        <f>B27/'- 3 -'!D27</f>
        <v>0</v>
      </c>
      <c r="D27" s="308">
        <v>46337</v>
      </c>
      <c r="E27" s="278">
        <f>D27/'- 3 -'!D27</f>
        <v>0.0018036742764409824</v>
      </c>
    </row>
    <row r="28" spans="1:5" ht="13.5" customHeight="1">
      <c r="A28" s="388" t="s">
        <v>343</v>
      </c>
      <c r="B28" s="309">
        <v>4800</v>
      </c>
      <c r="C28" s="279">
        <f>B28/'- 3 -'!D28</f>
        <v>0.0002982679205291622</v>
      </c>
      <c r="D28" s="309">
        <v>33151</v>
      </c>
      <c r="E28" s="279">
        <f>D28/'- 3 -'!D28</f>
        <v>0.0020599749653046366</v>
      </c>
    </row>
    <row r="29" spans="1:5" ht="13.5" customHeight="1">
      <c r="A29" s="387" t="s">
        <v>344</v>
      </c>
      <c r="B29" s="308">
        <v>0</v>
      </c>
      <c r="C29" s="278">
        <f>B29/'- 3 -'!D29</f>
        <v>0</v>
      </c>
      <c r="D29" s="308">
        <v>124248</v>
      </c>
      <c r="E29" s="278">
        <f>D29/'- 3 -'!D29</f>
        <v>0.0012730879757707528</v>
      </c>
    </row>
    <row r="30" spans="1:5" ht="13.5" customHeight="1">
      <c r="A30" s="388" t="s">
        <v>345</v>
      </c>
      <c r="B30" s="309">
        <v>0</v>
      </c>
      <c r="C30" s="279">
        <f>B30/'- 3 -'!D30</f>
        <v>0</v>
      </c>
      <c r="D30" s="309">
        <v>37534</v>
      </c>
      <c r="E30" s="279">
        <f>D30/'- 3 -'!D30</f>
        <v>0.00389561002301206</v>
      </c>
    </row>
    <row r="31" spans="1:5" ht="13.5" customHeight="1">
      <c r="A31" s="387" t="s">
        <v>346</v>
      </c>
      <c r="B31" s="308">
        <v>0</v>
      </c>
      <c r="C31" s="278">
        <f>B31/'- 3 -'!D31</f>
        <v>0</v>
      </c>
      <c r="D31" s="308">
        <v>1404</v>
      </c>
      <c r="E31" s="278">
        <f>D31/'- 3 -'!D31</f>
        <v>5.755245164015879E-05</v>
      </c>
    </row>
    <row r="32" spans="1:5" ht="13.5" customHeight="1">
      <c r="A32" s="388" t="s">
        <v>347</v>
      </c>
      <c r="B32" s="309">
        <v>0</v>
      </c>
      <c r="C32" s="279">
        <f>B32/'- 3 -'!D32</f>
        <v>0</v>
      </c>
      <c r="D32" s="309">
        <v>46031</v>
      </c>
      <c r="E32" s="279">
        <f>D32/'- 3 -'!D32</f>
        <v>0.0025322467995252266</v>
      </c>
    </row>
    <row r="33" spans="1:5" ht="13.5" customHeight="1">
      <c r="A33" s="387" t="s">
        <v>348</v>
      </c>
      <c r="B33" s="308">
        <v>0</v>
      </c>
      <c r="C33" s="278">
        <f>B33/'- 3 -'!D33</f>
        <v>0</v>
      </c>
      <c r="D33" s="308">
        <v>39157</v>
      </c>
      <c r="E33" s="278">
        <f>D33/'- 3 -'!D33</f>
        <v>0.0018063935638746751</v>
      </c>
    </row>
    <row r="34" spans="1:5" ht="13.5" customHeight="1">
      <c r="A34" s="388" t="s">
        <v>349</v>
      </c>
      <c r="B34" s="309">
        <v>0</v>
      </c>
      <c r="C34" s="279">
        <f>B34/'- 3 -'!D34</f>
        <v>0</v>
      </c>
      <c r="D34" s="309">
        <v>54400</v>
      </c>
      <c r="E34" s="279">
        <f>D34/'- 3 -'!D34</f>
        <v>0.00331056121204495</v>
      </c>
    </row>
    <row r="35" spans="1:5" ht="13.5" customHeight="1">
      <c r="A35" s="387" t="s">
        <v>350</v>
      </c>
      <c r="B35" s="308">
        <v>0</v>
      </c>
      <c r="C35" s="278">
        <f>B35/'- 3 -'!D35</f>
        <v>0</v>
      </c>
      <c r="D35" s="308">
        <v>123267</v>
      </c>
      <c r="E35" s="278">
        <f>D35/'- 3 -'!D35</f>
        <v>0.001007295877701253</v>
      </c>
    </row>
    <row r="36" spans="1:5" ht="13.5" customHeight="1">
      <c r="A36" s="388" t="s">
        <v>351</v>
      </c>
      <c r="B36" s="309">
        <v>0</v>
      </c>
      <c r="C36" s="279">
        <f>B36/'- 3 -'!D36</f>
        <v>0</v>
      </c>
      <c r="D36" s="309">
        <v>60608</v>
      </c>
      <c r="E36" s="279">
        <f>D36/'- 3 -'!D36</f>
        <v>0.003806620321214993</v>
      </c>
    </row>
    <row r="37" spans="1:5" ht="13.5" customHeight="1">
      <c r="A37" s="387" t="s">
        <v>352</v>
      </c>
      <c r="B37" s="308">
        <v>0</v>
      </c>
      <c r="C37" s="278">
        <f>B37/'- 3 -'!D37</f>
        <v>0</v>
      </c>
      <c r="D37" s="308">
        <v>48312</v>
      </c>
      <c r="E37" s="278">
        <f>D37/'- 3 -'!D37</f>
        <v>0.002065486684575361</v>
      </c>
    </row>
    <row r="38" spans="1:5" ht="13.5" customHeight="1">
      <c r="A38" s="388" t="s">
        <v>353</v>
      </c>
      <c r="B38" s="309">
        <v>0</v>
      </c>
      <c r="C38" s="279">
        <f>B38/'- 3 -'!D38</f>
        <v>0</v>
      </c>
      <c r="D38" s="309">
        <v>142123</v>
      </c>
      <c r="E38" s="279">
        <f>D38/'- 3 -'!D38</f>
        <v>0.0023094196846788076</v>
      </c>
    </row>
    <row r="39" spans="1:5" ht="13.5" customHeight="1">
      <c r="A39" s="387" t="s">
        <v>354</v>
      </c>
      <c r="B39" s="308">
        <v>0</v>
      </c>
      <c r="C39" s="278">
        <f>B39/'- 3 -'!D39</f>
        <v>0</v>
      </c>
      <c r="D39" s="308">
        <v>33414</v>
      </c>
      <c r="E39" s="278">
        <f>D39/'- 3 -'!D39</f>
        <v>0.0022759560594498933</v>
      </c>
    </row>
    <row r="40" spans="1:5" ht="13.5" customHeight="1">
      <c r="A40" s="388" t="s">
        <v>355</v>
      </c>
      <c r="B40" s="309">
        <v>0</v>
      </c>
      <c r="C40" s="279">
        <f>B40/'- 3 -'!D40</f>
        <v>0</v>
      </c>
      <c r="D40" s="309">
        <v>0</v>
      </c>
      <c r="E40" s="279">
        <f>D40/'- 3 -'!D40</f>
        <v>0</v>
      </c>
    </row>
    <row r="41" spans="1:5" ht="13.5" customHeight="1">
      <c r="A41" s="387" t="s">
        <v>356</v>
      </c>
      <c r="B41" s="308">
        <v>0</v>
      </c>
      <c r="C41" s="278">
        <f>B41/'- 3 -'!D41</f>
        <v>0</v>
      </c>
      <c r="D41" s="308">
        <v>62960</v>
      </c>
      <c r="E41" s="278">
        <f>D41/'- 3 -'!D41</f>
        <v>0.0016763207315957835</v>
      </c>
    </row>
    <row r="42" spans="1:5" ht="13.5" customHeight="1">
      <c r="A42" s="388" t="s">
        <v>357</v>
      </c>
      <c r="B42" s="309">
        <v>0</v>
      </c>
      <c r="C42" s="279">
        <f>B42/'- 3 -'!D42</f>
        <v>0</v>
      </c>
      <c r="D42" s="309">
        <v>32772</v>
      </c>
      <c r="E42" s="279">
        <f>D42/'- 3 -'!D42</f>
        <v>0.0022539127793800955</v>
      </c>
    </row>
    <row r="43" spans="1:5" ht="13.5" customHeight="1">
      <c r="A43" s="387" t="s">
        <v>358</v>
      </c>
      <c r="B43" s="308">
        <v>0</v>
      </c>
      <c r="C43" s="278">
        <f>B43/'- 3 -'!D43</f>
        <v>0</v>
      </c>
      <c r="D43" s="308">
        <v>9253</v>
      </c>
      <c r="E43" s="278">
        <f>D43/'- 3 -'!D43</f>
        <v>0.0010151898870278963</v>
      </c>
    </row>
    <row r="44" spans="1:5" ht="13.5" customHeight="1">
      <c r="A44" s="388" t="s">
        <v>359</v>
      </c>
      <c r="B44" s="309">
        <v>0</v>
      </c>
      <c r="C44" s="279">
        <f>B44/'- 3 -'!D44</f>
        <v>0</v>
      </c>
      <c r="D44" s="309">
        <v>29372</v>
      </c>
      <c r="E44" s="279">
        <f>D44/'- 3 -'!D44</f>
        <v>0.004487504291294384</v>
      </c>
    </row>
    <row r="45" spans="1:5" ht="13.5" customHeight="1">
      <c r="A45" s="387" t="s">
        <v>360</v>
      </c>
      <c r="B45" s="308">
        <v>0</v>
      </c>
      <c r="C45" s="278">
        <f>B45/'- 3 -'!D45</f>
        <v>0</v>
      </c>
      <c r="D45" s="308">
        <v>38514</v>
      </c>
      <c r="E45" s="278">
        <f>D45/'- 3 -'!D45</f>
        <v>0.003894709165925087</v>
      </c>
    </row>
    <row r="46" spans="1:5" ht="13.5" customHeight="1">
      <c r="A46" s="388" t="s">
        <v>361</v>
      </c>
      <c r="B46" s="309">
        <v>0</v>
      </c>
      <c r="C46" s="279">
        <f>B46/'- 3 -'!D46</f>
        <v>0</v>
      </c>
      <c r="D46" s="309">
        <v>291230</v>
      </c>
      <c r="E46" s="279">
        <f>D46/'- 3 -'!D46</f>
        <v>0.0011622769172027734</v>
      </c>
    </row>
    <row r="47" spans="1:5" ht="13.5" customHeight="1">
      <c r="A47" s="387" t="s">
        <v>365</v>
      </c>
      <c r="B47" s="308">
        <v>0</v>
      </c>
      <c r="C47" s="278">
        <f>B47/'- 3 -'!D47</f>
        <v>0</v>
      </c>
      <c r="D47" s="308">
        <v>0</v>
      </c>
      <c r="E47" s="278">
        <f>D47/'- 3 -'!D47</f>
        <v>0</v>
      </c>
    </row>
    <row r="48" spans="1:5" ht="4.5" customHeight="1">
      <c r="A48" s="389"/>
      <c r="B48" s="310"/>
      <c r="C48" s="162"/>
      <c r="D48" s="310"/>
      <c r="E48" s="162"/>
    </row>
    <row r="49" spans="1:6" ht="13.5" customHeight="1">
      <c r="A49" s="383" t="s">
        <v>362</v>
      </c>
      <c r="B49" s="311">
        <f>SUM(B11:B47)</f>
        <v>2201009</v>
      </c>
      <c r="C49" s="81">
        <f>B49/'- 3 -'!D49</f>
        <v>0.00163340462688733</v>
      </c>
      <c r="D49" s="311">
        <f>SUM(D11:D47)</f>
        <v>2538286.2800000003</v>
      </c>
      <c r="E49" s="81">
        <f>D49/'- 3 -'!D49</f>
        <v>0.0018837035896339495</v>
      </c>
      <c r="F49" s="62"/>
    </row>
    <row r="50" spans="1:5" ht="4.5" customHeight="1">
      <c r="A50" s="389" t="s">
        <v>15</v>
      </c>
      <c r="B50" s="310"/>
      <c r="C50" s="162"/>
      <c r="D50" s="310"/>
      <c r="E50" s="162"/>
    </row>
    <row r="51" spans="1:5" ht="13.5" customHeight="1">
      <c r="A51" s="388" t="s">
        <v>363</v>
      </c>
      <c r="B51" s="309">
        <v>0</v>
      </c>
      <c r="C51" s="279">
        <f>B51/'- 3 -'!D51</f>
        <v>0</v>
      </c>
      <c r="D51" s="309">
        <v>1400</v>
      </c>
      <c r="E51" s="279">
        <f>D51/'- 3 -'!D51</f>
        <v>0.0011081349771724196</v>
      </c>
    </row>
    <row r="52" spans="1:5" ht="13.5" customHeight="1">
      <c r="A52" s="387" t="s">
        <v>364</v>
      </c>
      <c r="B52" s="308">
        <v>-33</v>
      </c>
      <c r="C52" s="278">
        <f>B52/'- 3 -'!D52</f>
        <v>-1.3839036903679046E-05</v>
      </c>
      <c r="D52" s="308">
        <v>20907</v>
      </c>
      <c r="E52" s="278">
        <f>D52/'- 3 -'!D52</f>
        <v>0.00876765892561266</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8"/>
  <sheetViews>
    <sheetView showGridLines="0" showZeros="0" workbookViewId="0" topLeftCell="A1">
      <selection activeCell="A1" sqref="A1"/>
    </sheetView>
  </sheetViews>
  <sheetFormatPr defaultColWidth="15.83203125" defaultRowHeight="12"/>
  <cols>
    <col min="1" max="1" width="33.83203125" style="67" customWidth="1"/>
    <col min="2" max="2" width="17.83203125" style="67" customWidth="1"/>
    <col min="3" max="3" width="15.83203125" style="67" customWidth="1"/>
    <col min="4" max="4" width="17.83203125" style="67" customWidth="1"/>
    <col min="5" max="5" width="15.83203125" style="67" customWidth="1"/>
    <col min="6" max="6" width="17.83203125" style="67" customWidth="1"/>
    <col min="7" max="16384" width="15.83203125" style="67" customWidth="1"/>
  </cols>
  <sheetData>
    <row r="1" spans="1:7" ht="6.75" customHeight="1">
      <c r="A1" s="65"/>
      <c r="B1" s="116"/>
      <c r="C1" s="116"/>
      <c r="D1" s="116"/>
      <c r="E1" s="116"/>
      <c r="F1" s="116"/>
      <c r="G1" s="116"/>
    </row>
    <row r="2" spans="1:7" ht="15.75" customHeight="1">
      <c r="A2" s="333"/>
      <c r="B2" s="360" t="s">
        <v>12</v>
      </c>
      <c r="C2" s="164"/>
      <c r="D2" s="165"/>
      <c r="E2" s="164"/>
      <c r="F2" s="178"/>
      <c r="G2" s="336" t="s">
        <v>295</v>
      </c>
    </row>
    <row r="3" spans="1:7" ht="15.75" customHeight="1">
      <c r="A3" s="334"/>
      <c r="B3" s="456" t="str">
        <f>OPYEAR</f>
        <v>OPERATING FUND 2002/2003 ACTUAL</v>
      </c>
      <c r="C3" s="167"/>
      <c r="D3" s="168"/>
      <c r="E3" s="167"/>
      <c r="F3" s="179"/>
      <c r="G3" s="179"/>
    </row>
    <row r="4" spans="2:7" ht="15.75" customHeight="1">
      <c r="B4" s="116"/>
      <c r="C4" s="116"/>
      <c r="D4" s="116"/>
      <c r="E4" s="116"/>
      <c r="F4" s="116"/>
      <c r="G4" s="116"/>
    </row>
    <row r="5" spans="2:7" ht="15.75" customHeight="1">
      <c r="B5" s="43"/>
      <c r="C5" s="116"/>
      <c r="D5" s="116"/>
      <c r="E5" s="116"/>
      <c r="F5" s="116"/>
      <c r="G5" s="116"/>
    </row>
    <row r="6" spans="2:7" ht="15.75" customHeight="1">
      <c r="B6" s="269" t="s">
        <v>39</v>
      </c>
      <c r="C6" s="183"/>
      <c r="D6" s="184"/>
      <c r="E6" s="184"/>
      <c r="F6" s="184"/>
      <c r="G6" s="185"/>
    </row>
    <row r="7" spans="2:7" ht="15.75" customHeight="1">
      <c r="B7" s="169"/>
      <c r="C7" s="52"/>
      <c r="D7" s="51" t="s">
        <v>72</v>
      </c>
      <c r="E7" s="51"/>
      <c r="F7" s="51"/>
      <c r="G7" s="52"/>
    </row>
    <row r="8" spans="1:7" ht="15.75" customHeight="1">
      <c r="A8" s="313"/>
      <c r="B8" s="55" t="s">
        <v>50</v>
      </c>
      <c r="C8" s="56"/>
      <c r="D8" s="54" t="s">
        <v>79</v>
      </c>
      <c r="E8" s="56"/>
      <c r="F8" s="54" t="s">
        <v>324</v>
      </c>
      <c r="G8" s="56"/>
    </row>
    <row r="9" spans="1:7" ht="15.75" customHeight="1">
      <c r="A9" s="314" t="s">
        <v>112</v>
      </c>
      <c r="B9" s="109" t="s">
        <v>113</v>
      </c>
      <c r="C9" s="109" t="s">
        <v>114</v>
      </c>
      <c r="D9" s="109" t="s">
        <v>113</v>
      </c>
      <c r="E9" s="109" t="s">
        <v>114</v>
      </c>
      <c r="F9" s="109" t="s">
        <v>113</v>
      </c>
      <c r="G9" s="109" t="s">
        <v>114</v>
      </c>
    </row>
    <row r="10" ht="4.5" customHeight="1">
      <c r="A10" s="62"/>
    </row>
    <row r="11" spans="1:7" ht="13.5" customHeight="1">
      <c r="A11" s="387" t="s">
        <v>327</v>
      </c>
      <c r="B11" s="308">
        <v>61386</v>
      </c>
      <c r="C11" s="278">
        <f>B11/'- 3 -'!D11</f>
        <v>0.005494781879931213</v>
      </c>
      <c r="D11" s="308">
        <v>924518</v>
      </c>
      <c r="E11" s="278">
        <f>D11/'- 3 -'!D11</f>
        <v>0.08275542882856425</v>
      </c>
      <c r="F11" s="308">
        <v>270426</v>
      </c>
      <c r="G11" s="278">
        <f>F11/'- 3 -'!D11</f>
        <v>0.024206364393547033</v>
      </c>
    </row>
    <row r="12" spans="1:7" ht="13.5" customHeight="1">
      <c r="A12" s="388" t="s">
        <v>328</v>
      </c>
      <c r="B12" s="309">
        <v>41729</v>
      </c>
      <c r="C12" s="279">
        <f>B12/'- 3 -'!D12</f>
        <v>0.002273248761150517</v>
      </c>
      <c r="D12" s="309">
        <v>1667349</v>
      </c>
      <c r="E12" s="279">
        <f>D12/'- 3 -'!D12</f>
        <v>0.09083129355257862</v>
      </c>
      <c r="F12" s="309">
        <v>76540</v>
      </c>
      <c r="G12" s="279">
        <f>F12/'- 3 -'!D12</f>
        <v>0.004169629278881847</v>
      </c>
    </row>
    <row r="13" spans="1:7" ht="13.5" customHeight="1">
      <c r="A13" s="387" t="s">
        <v>329</v>
      </c>
      <c r="B13" s="308">
        <v>149306</v>
      </c>
      <c r="C13" s="278">
        <f>B13/'- 3 -'!D13</f>
        <v>0.003208668498206205</v>
      </c>
      <c r="D13" s="308">
        <v>3929863</v>
      </c>
      <c r="E13" s="278">
        <f>D13/'- 3 -'!D13</f>
        <v>0.08445492887336163</v>
      </c>
      <c r="F13" s="308">
        <v>325749</v>
      </c>
      <c r="G13" s="278">
        <f>F13/'- 3 -'!D13</f>
        <v>0.007000526131717233</v>
      </c>
    </row>
    <row r="14" spans="1:7" ht="13.5" customHeight="1">
      <c r="A14" s="388" t="s">
        <v>366</v>
      </c>
      <c r="B14" s="309">
        <v>146537</v>
      </c>
      <c r="C14" s="279">
        <f>B14/'- 3 -'!D14</f>
        <v>0.0037115613526509357</v>
      </c>
      <c r="D14" s="309">
        <v>3396938</v>
      </c>
      <c r="E14" s="279">
        <f>D14/'- 3 -'!D14</f>
        <v>0.08603931974962886</v>
      </c>
      <c r="F14" s="309">
        <v>523498</v>
      </c>
      <c r="G14" s="279">
        <f>F14/'- 3 -'!D14</f>
        <v>0.013259415335308214</v>
      </c>
    </row>
    <row r="15" spans="1:7" ht="13.5" customHeight="1">
      <c r="A15" s="387" t="s">
        <v>330</v>
      </c>
      <c r="B15" s="308">
        <v>32696</v>
      </c>
      <c r="C15" s="278">
        <f>B15/'- 3 -'!D15</f>
        <v>0.0026041061025095184</v>
      </c>
      <c r="D15" s="308">
        <v>1212637</v>
      </c>
      <c r="E15" s="278">
        <f>D15/'- 3 -'!D15</f>
        <v>0.09658170454578037</v>
      </c>
      <c r="F15" s="308">
        <v>71185</v>
      </c>
      <c r="G15" s="278">
        <f>F15/'- 3 -'!D15</f>
        <v>0.005669601569217643</v>
      </c>
    </row>
    <row r="16" spans="1:7" ht="13.5" customHeight="1">
      <c r="A16" s="388" t="s">
        <v>331</v>
      </c>
      <c r="B16" s="309">
        <v>74241</v>
      </c>
      <c r="C16" s="279">
        <f>B16/'- 3 -'!D16</f>
        <v>0.0068844627631991845</v>
      </c>
      <c r="D16" s="309">
        <v>1340907</v>
      </c>
      <c r="E16" s="279">
        <f>D16/'- 3 -'!D16</f>
        <v>0.12434401894388719</v>
      </c>
      <c r="F16" s="309">
        <v>77336</v>
      </c>
      <c r="G16" s="279">
        <f>F16/'- 3 -'!D16</f>
        <v>0.00717146606665821</v>
      </c>
    </row>
    <row r="17" spans="1:7" ht="13.5" customHeight="1">
      <c r="A17" s="387" t="s">
        <v>332</v>
      </c>
      <c r="B17" s="308">
        <v>69635</v>
      </c>
      <c r="C17" s="278">
        <f>B17/'- 3 -'!D17</f>
        <v>0.005657390663725219</v>
      </c>
      <c r="D17" s="308">
        <v>1162535</v>
      </c>
      <c r="E17" s="278">
        <f>D17/'- 3 -'!D17</f>
        <v>0.09444840461339553</v>
      </c>
      <c r="F17" s="308">
        <v>160193</v>
      </c>
      <c r="G17" s="278">
        <f>F17/'- 3 -'!D17</f>
        <v>0.013014638940103884</v>
      </c>
    </row>
    <row r="18" spans="1:7" ht="13.5" customHeight="1">
      <c r="A18" s="388" t="s">
        <v>333</v>
      </c>
      <c r="B18" s="309">
        <v>102708</v>
      </c>
      <c r="C18" s="279">
        <f>B18/'- 3 -'!D18</f>
        <v>0.0014199896721757118</v>
      </c>
      <c r="D18" s="309">
        <v>10116815.059999999</v>
      </c>
      <c r="E18" s="279">
        <f>D18/'- 3 -'!D18</f>
        <v>0.13987004810250128</v>
      </c>
      <c r="F18" s="309">
        <v>722321</v>
      </c>
      <c r="G18" s="279">
        <f>F18/'- 3 -'!D18</f>
        <v>0.009986450519878027</v>
      </c>
    </row>
    <row r="19" spans="1:7" ht="13.5" customHeight="1">
      <c r="A19" s="387" t="s">
        <v>334</v>
      </c>
      <c r="B19" s="308">
        <v>40355</v>
      </c>
      <c r="C19" s="278">
        <f>B19/'- 3 -'!D19</f>
        <v>0.0022824415512842644</v>
      </c>
      <c r="D19" s="308">
        <v>1477962</v>
      </c>
      <c r="E19" s="278">
        <f>D19/'- 3 -'!D19</f>
        <v>0.08359216652259184</v>
      </c>
      <c r="F19" s="308">
        <v>47074</v>
      </c>
      <c r="G19" s="278">
        <f>F19/'- 3 -'!D19</f>
        <v>0.0026624619894723197</v>
      </c>
    </row>
    <row r="20" spans="1:7" ht="13.5" customHeight="1">
      <c r="A20" s="388" t="s">
        <v>335</v>
      </c>
      <c r="B20" s="309">
        <v>89540</v>
      </c>
      <c r="C20" s="279">
        <f>B20/'- 3 -'!D20</f>
        <v>0.002677825368941173</v>
      </c>
      <c r="D20" s="309">
        <v>3329501</v>
      </c>
      <c r="E20" s="279">
        <f>D20/'- 3 -'!D20</f>
        <v>0.0995736234500224</v>
      </c>
      <c r="F20" s="309">
        <v>144736</v>
      </c>
      <c r="G20" s="279">
        <f>F20/'- 3 -'!D20</f>
        <v>0.004328542914887979</v>
      </c>
    </row>
    <row r="21" spans="1:7" ht="13.5" customHeight="1">
      <c r="A21" s="387" t="s">
        <v>336</v>
      </c>
      <c r="B21" s="308">
        <v>123001</v>
      </c>
      <c r="C21" s="278">
        <f>B21/'- 3 -'!D21</f>
        <v>0.005287324186078941</v>
      </c>
      <c r="D21" s="308">
        <v>1961484</v>
      </c>
      <c r="E21" s="278">
        <f>D21/'- 3 -'!D21</f>
        <v>0.08431640225532204</v>
      </c>
      <c r="F21" s="308">
        <v>516840</v>
      </c>
      <c r="G21" s="278">
        <f>F21/'- 3 -'!D21</f>
        <v>0.02221689768646629</v>
      </c>
    </row>
    <row r="22" spans="1:7" ht="13.5" customHeight="1">
      <c r="A22" s="388" t="s">
        <v>337</v>
      </c>
      <c r="B22" s="309">
        <v>51766</v>
      </c>
      <c r="C22" s="279">
        <f>B22/'- 3 -'!D22</f>
        <v>0.004043389539254645</v>
      </c>
      <c r="D22" s="309">
        <v>1375150</v>
      </c>
      <c r="E22" s="279">
        <f>D22/'- 3 -'!D22</f>
        <v>0.10741156598744397</v>
      </c>
      <c r="F22" s="309">
        <v>69944</v>
      </c>
      <c r="G22" s="279">
        <f>F22/'- 3 -'!D22</f>
        <v>0.005463254605989006</v>
      </c>
    </row>
    <row r="23" spans="1:7" ht="13.5" customHeight="1">
      <c r="A23" s="387" t="s">
        <v>338</v>
      </c>
      <c r="B23" s="308">
        <v>42209</v>
      </c>
      <c r="C23" s="278">
        <f>B23/'- 3 -'!D23</f>
        <v>0.003942993482089502</v>
      </c>
      <c r="D23" s="308">
        <v>828546</v>
      </c>
      <c r="E23" s="278">
        <f>D23/'- 3 -'!D23</f>
        <v>0.07739940480966923</v>
      </c>
      <c r="F23" s="308">
        <v>95804</v>
      </c>
      <c r="G23" s="278">
        <f>F23/'- 3 -'!D23</f>
        <v>0.008949620876071516</v>
      </c>
    </row>
    <row r="24" spans="1:7" ht="13.5" customHeight="1">
      <c r="A24" s="388" t="s">
        <v>339</v>
      </c>
      <c r="B24" s="309">
        <v>136642</v>
      </c>
      <c r="C24" s="279">
        <f>B24/'- 3 -'!D24</f>
        <v>0.004098107274960053</v>
      </c>
      <c r="D24" s="309">
        <v>3191012</v>
      </c>
      <c r="E24" s="279">
        <f>D24/'- 3 -'!D24</f>
        <v>0.09570344031618996</v>
      </c>
      <c r="F24" s="309">
        <v>129326</v>
      </c>
      <c r="G24" s="279">
        <f>F24/'- 3 -'!D24</f>
        <v>0.0038786889934389413</v>
      </c>
    </row>
    <row r="25" spans="1:7" ht="13.5" customHeight="1">
      <c r="A25" s="387" t="s">
        <v>340</v>
      </c>
      <c r="B25" s="308">
        <v>348480</v>
      </c>
      <c r="C25" s="278">
        <f>B25/'- 3 -'!D25</f>
        <v>0.0033677125488026224</v>
      </c>
      <c r="D25" s="308">
        <v>10936290</v>
      </c>
      <c r="E25" s="278">
        <f>D25/'- 3 -'!D25</f>
        <v>0.10568836395300917</v>
      </c>
      <c r="F25" s="308">
        <v>539125</v>
      </c>
      <c r="G25" s="278">
        <f>F25/'- 3 -'!D25</f>
        <v>0.005210106829296413</v>
      </c>
    </row>
    <row r="26" spans="1:7" ht="13.5" customHeight="1">
      <c r="A26" s="388" t="s">
        <v>341</v>
      </c>
      <c r="B26" s="309">
        <v>95860.95</v>
      </c>
      <c r="C26" s="279">
        <f>B26/'- 3 -'!D26</f>
        <v>0.0037131868610289624</v>
      </c>
      <c r="D26" s="309">
        <v>2846629.85</v>
      </c>
      <c r="E26" s="279">
        <f>D26/'- 3 -'!D26</f>
        <v>0.11026459217473691</v>
      </c>
      <c r="F26" s="309">
        <v>164237.35</v>
      </c>
      <c r="G26" s="279">
        <f>F26/'- 3 -'!D26</f>
        <v>0.006361755961214813</v>
      </c>
    </row>
    <row r="27" spans="1:7" ht="13.5" customHeight="1">
      <c r="A27" s="387" t="s">
        <v>342</v>
      </c>
      <c r="B27" s="308">
        <v>147142</v>
      </c>
      <c r="C27" s="278">
        <f>B27/'- 3 -'!D27</f>
        <v>0.005727523153939164</v>
      </c>
      <c r="D27" s="308">
        <v>2812326</v>
      </c>
      <c r="E27" s="278">
        <f>D27/'- 3 -'!D27</f>
        <v>0.10947018717582413</v>
      </c>
      <c r="F27" s="308">
        <v>211172</v>
      </c>
      <c r="G27" s="278">
        <f>F27/'- 3 -'!D27</f>
        <v>0.008219899956937116</v>
      </c>
    </row>
    <row r="28" spans="1:7" ht="13.5" customHeight="1">
      <c r="A28" s="388" t="s">
        <v>343</v>
      </c>
      <c r="B28" s="309">
        <v>73740</v>
      </c>
      <c r="C28" s="279">
        <f>B28/'- 3 -'!D28</f>
        <v>0.004582140929129255</v>
      </c>
      <c r="D28" s="309">
        <v>1598379</v>
      </c>
      <c r="E28" s="279">
        <f>D28/'- 3 -'!D28</f>
        <v>0.09932191261405869</v>
      </c>
      <c r="F28" s="309">
        <v>82341</v>
      </c>
      <c r="G28" s="279">
        <f>F28/'- 3 -'!D28</f>
        <v>0.005116599759227447</v>
      </c>
    </row>
    <row r="29" spans="1:7" ht="13.5" customHeight="1">
      <c r="A29" s="387" t="s">
        <v>344</v>
      </c>
      <c r="B29" s="308">
        <v>555547</v>
      </c>
      <c r="C29" s="278">
        <f>B29/'- 3 -'!D29</f>
        <v>0.005692326682727404</v>
      </c>
      <c r="D29" s="308">
        <v>8492362</v>
      </c>
      <c r="E29" s="278">
        <f>D29/'- 3 -'!D29</f>
        <v>0.08701567790300417</v>
      </c>
      <c r="F29" s="308">
        <v>854689</v>
      </c>
      <c r="G29" s="278">
        <f>F29/'- 3 -'!D29</f>
        <v>0.008757439064802081</v>
      </c>
    </row>
    <row r="30" spans="1:7" ht="13.5" customHeight="1">
      <c r="A30" s="388" t="s">
        <v>345</v>
      </c>
      <c r="B30" s="309">
        <v>33348</v>
      </c>
      <c r="C30" s="279">
        <f>B30/'- 3 -'!D30</f>
        <v>0.0034611499719562574</v>
      </c>
      <c r="D30" s="309">
        <v>788261</v>
      </c>
      <c r="E30" s="279">
        <f>D30/'- 3 -'!D30</f>
        <v>0.08181268855836067</v>
      </c>
      <c r="F30" s="309">
        <v>141656</v>
      </c>
      <c r="G30" s="279">
        <f>F30/'- 3 -'!D30</f>
        <v>0.014702310796072796</v>
      </c>
    </row>
    <row r="31" spans="1:7" ht="13.5" customHeight="1">
      <c r="A31" s="387" t="s">
        <v>346</v>
      </c>
      <c r="B31" s="308">
        <v>137091</v>
      </c>
      <c r="C31" s="278">
        <f>B31/'- 3 -'!D31</f>
        <v>0.00561960338162465</v>
      </c>
      <c r="D31" s="308">
        <v>2583800</v>
      </c>
      <c r="E31" s="278">
        <f>D31/'- 3 -'!D31</f>
        <v>0.10591454739874806</v>
      </c>
      <c r="F31" s="308">
        <v>145861</v>
      </c>
      <c r="G31" s="278">
        <f>F31/'- 3 -'!D31</f>
        <v>0.00597910124550228</v>
      </c>
    </row>
    <row r="32" spans="1:7" ht="13.5" customHeight="1">
      <c r="A32" s="388" t="s">
        <v>347</v>
      </c>
      <c r="B32" s="309">
        <v>48150</v>
      </c>
      <c r="C32" s="279">
        <f>B32/'- 3 -'!D32</f>
        <v>0.002648816740829868</v>
      </c>
      <c r="D32" s="309">
        <v>1527268</v>
      </c>
      <c r="E32" s="279">
        <f>D32/'- 3 -'!D32</f>
        <v>0.08401771643060749</v>
      </c>
      <c r="F32" s="309">
        <v>197408</v>
      </c>
      <c r="G32" s="279">
        <f>F32/'- 3 -'!D32</f>
        <v>0.01085976355501023</v>
      </c>
    </row>
    <row r="33" spans="1:7" ht="13.5" customHeight="1">
      <c r="A33" s="387" t="s">
        <v>348</v>
      </c>
      <c r="B33" s="308">
        <v>150999</v>
      </c>
      <c r="C33" s="278">
        <f>B33/'- 3 -'!D33</f>
        <v>0.006965896819253571</v>
      </c>
      <c r="D33" s="308">
        <v>2006152</v>
      </c>
      <c r="E33" s="278">
        <f>D33/'- 3 -'!D33</f>
        <v>0.09254794956085266</v>
      </c>
      <c r="F33" s="308">
        <v>145992</v>
      </c>
      <c r="G33" s="278">
        <f>F33/'- 3 -'!D33</f>
        <v>0.0067349135321192015</v>
      </c>
    </row>
    <row r="34" spans="1:7" ht="13.5" customHeight="1">
      <c r="A34" s="388" t="s">
        <v>349</v>
      </c>
      <c r="B34" s="309">
        <v>87534</v>
      </c>
      <c r="C34" s="279">
        <f>B34/'- 3 -'!D34</f>
        <v>0.005326960756160711</v>
      </c>
      <c r="D34" s="309">
        <v>1318604.26</v>
      </c>
      <c r="E34" s="279">
        <f>D34/'- 3 -'!D34</f>
        <v>0.08024485509546386</v>
      </c>
      <c r="F34" s="309">
        <v>102217.1</v>
      </c>
      <c r="G34" s="279">
        <f>F34/'- 3 -'!D34</f>
        <v>0.0062205140894801446</v>
      </c>
    </row>
    <row r="35" spans="1:7" ht="13.5" customHeight="1">
      <c r="A35" s="387" t="s">
        <v>350</v>
      </c>
      <c r="B35" s="308">
        <v>457125</v>
      </c>
      <c r="C35" s="278">
        <f>B35/'- 3 -'!D35</f>
        <v>0.0037354695749404576</v>
      </c>
      <c r="D35" s="308">
        <v>11385741</v>
      </c>
      <c r="E35" s="278">
        <f>D35/'- 3 -'!D35</f>
        <v>0.09304039178266807</v>
      </c>
      <c r="F35" s="308">
        <v>523403</v>
      </c>
      <c r="G35" s="278">
        <f>F35/'- 3 -'!D35</f>
        <v>0.004277070783554958</v>
      </c>
    </row>
    <row r="36" spans="1:7" ht="13.5" customHeight="1">
      <c r="A36" s="388" t="s">
        <v>351</v>
      </c>
      <c r="B36" s="309">
        <v>40228</v>
      </c>
      <c r="C36" s="279">
        <f>B36/'- 3 -'!D36</f>
        <v>0.0025266090661601893</v>
      </c>
      <c r="D36" s="309">
        <v>1561037</v>
      </c>
      <c r="E36" s="279">
        <f>D36/'- 3 -'!D36</f>
        <v>0.0980444028241897</v>
      </c>
      <c r="F36" s="309">
        <v>146382</v>
      </c>
      <c r="G36" s="279">
        <f>F36/'- 3 -'!D36</f>
        <v>0.009193847278578622</v>
      </c>
    </row>
    <row r="37" spans="1:7" ht="13.5" customHeight="1">
      <c r="A37" s="387" t="s">
        <v>352</v>
      </c>
      <c r="B37" s="308">
        <v>80267</v>
      </c>
      <c r="C37" s="278">
        <f>B37/'- 3 -'!D37</f>
        <v>0.003431661278995084</v>
      </c>
      <c r="D37" s="308">
        <v>2300763</v>
      </c>
      <c r="E37" s="278">
        <f>D37/'- 3 -'!D37</f>
        <v>0.09836469905745282</v>
      </c>
      <c r="F37" s="308">
        <v>233282</v>
      </c>
      <c r="G37" s="278">
        <f>F37/'- 3 -'!D37</f>
        <v>0.009973523446578684</v>
      </c>
    </row>
    <row r="38" spans="1:7" ht="13.5" customHeight="1">
      <c r="A38" s="388" t="s">
        <v>353</v>
      </c>
      <c r="B38" s="309">
        <v>306723</v>
      </c>
      <c r="C38" s="279">
        <f>B38/'- 3 -'!D38</f>
        <v>0.0049840781150393525</v>
      </c>
      <c r="D38" s="309">
        <v>6050251</v>
      </c>
      <c r="E38" s="279">
        <f>D38/'- 3 -'!D38</f>
        <v>0.09831321289761433</v>
      </c>
      <c r="F38" s="309">
        <v>482746</v>
      </c>
      <c r="G38" s="279">
        <f>F38/'- 3 -'!D38</f>
        <v>0.007844353940600436</v>
      </c>
    </row>
    <row r="39" spans="1:7" ht="13.5" customHeight="1">
      <c r="A39" s="387" t="s">
        <v>354</v>
      </c>
      <c r="B39" s="308">
        <v>35865</v>
      </c>
      <c r="C39" s="278">
        <f>B39/'- 3 -'!D39</f>
        <v>0.002442903096671168</v>
      </c>
      <c r="D39" s="308">
        <v>1246616</v>
      </c>
      <c r="E39" s="278">
        <f>D39/'- 3 -'!D39</f>
        <v>0.08491181058859125</v>
      </c>
      <c r="F39" s="308">
        <v>313981</v>
      </c>
      <c r="G39" s="278">
        <f>F39/'- 3 -'!D39</f>
        <v>0.021386453567430925</v>
      </c>
    </row>
    <row r="40" spans="1:7" ht="13.5" customHeight="1">
      <c r="A40" s="388" t="s">
        <v>355</v>
      </c>
      <c r="B40" s="309">
        <v>225811</v>
      </c>
      <c r="C40" s="279">
        <f>B40/'- 3 -'!D40</f>
        <v>0.0036379374312009403</v>
      </c>
      <c r="D40" s="309">
        <v>5549237</v>
      </c>
      <c r="E40" s="279">
        <f>D40/'- 3 -'!D40</f>
        <v>0.0894012116190319</v>
      </c>
      <c r="F40" s="309">
        <v>785715</v>
      </c>
      <c r="G40" s="279">
        <f>F40/'- 3 -'!D40</f>
        <v>0.0126582939217135</v>
      </c>
    </row>
    <row r="41" spans="1:7" ht="13.5" customHeight="1">
      <c r="A41" s="387" t="s">
        <v>356</v>
      </c>
      <c r="B41" s="308">
        <v>159075</v>
      </c>
      <c r="C41" s="278">
        <f>B41/'- 3 -'!D41</f>
        <v>0.004235398989494906</v>
      </c>
      <c r="D41" s="308">
        <v>2822763</v>
      </c>
      <c r="E41" s="278">
        <f>D41/'- 3 -'!D41</f>
        <v>0.07515654601781303</v>
      </c>
      <c r="F41" s="308">
        <v>190969</v>
      </c>
      <c r="G41" s="278">
        <f>F41/'- 3 -'!D41</f>
        <v>0.005084582175859517</v>
      </c>
    </row>
    <row r="42" spans="1:7" ht="13.5" customHeight="1">
      <c r="A42" s="388" t="s">
        <v>357</v>
      </c>
      <c r="B42" s="309">
        <v>58685</v>
      </c>
      <c r="C42" s="279">
        <f>B42/'- 3 -'!D42</f>
        <v>0.00403609396612721</v>
      </c>
      <c r="D42" s="309">
        <v>1399677</v>
      </c>
      <c r="E42" s="279">
        <f>D42/'- 3 -'!D42</f>
        <v>0.09626357492079807</v>
      </c>
      <c r="F42" s="309">
        <v>77931</v>
      </c>
      <c r="G42" s="279">
        <f>F42/'- 3 -'!D42</f>
        <v>0.005359748468505744</v>
      </c>
    </row>
    <row r="43" spans="1:7" ht="13.5" customHeight="1">
      <c r="A43" s="387" t="s">
        <v>358</v>
      </c>
      <c r="B43" s="308">
        <v>35462</v>
      </c>
      <c r="C43" s="278">
        <f>B43/'- 3 -'!D43</f>
        <v>0.003890701801986735</v>
      </c>
      <c r="D43" s="308">
        <v>729856</v>
      </c>
      <c r="E43" s="278">
        <f>D43/'- 3 -'!D43</f>
        <v>0.08007591377787013</v>
      </c>
      <c r="F43" s="308">
        <v>62149</v>
      </c>
      <c r="G43" s="278">
        <f>F43/'- 3 -'!D43</f>
        <v>0.0068186573315569795</v>
      </c>
    </row>
    <row r="44" spans="1:7" ht="13.5" customHeight="1">
      <c r="A44" s="388" t="s">
        <v>359</v>
      </c>
      <c r="B44" s="309">
        <v>18571</v>
      </c>
      <c r="C44" s="279">
        <f>B44/'- 3 -'!D44</f>
        <v>0.0028373090764547194</v>
      </c>
      <c r="D44" s="309">
        <v>646161</v>
      </c>
      <c r="E44" s="279">
        <f>D44/'- 3 -'!D44</f>
        <v>0.09872158042922072</v>
      </c>
      <c r="F44" s="309">
        <v>55007</v>
      </c>
      <c r="G44" s="279">
        <f>F44/'- 3 -'!D44</f>
        <v>0.008404063344383433</v>
      </c>
    </row>
    <row r="45" spans="1:7" ht="13.5" customHeight="1">
      <c r="A45" s="387" t="s">
        <v>360</v>
      </c>
      <c r="B45" s="308">
        <v>62966</v>
      </c>
      <c r="C45" s="278">
        <f>B45/'- 3 -'!D45</f>
        <v>0.006367405549712806</v>
      </c>
      <c r="D45" s="308">
        <v>828129</v>
      </c>
      <c r="E45" s="278">
        <f>D45/'- 3 -'!D45</f>
        <v>0.08374413477873958</v>
      </c>
      <c r="F45" s="308">
        <v>75408</v>
      </c>
      <c r="G45" s="278">
        <f>F45/'- 3 -'!D45</f>
        <v>0.00762559663457649</v>
      </c>
    </row>
    <row r="46" spans="1:7" ht="13.5" customHeight="1">
      <c r="A46" s="388" t="s">
        <v>361</v>
      </c>
      <c r="B46" s="309">
        <v>838244</v>
      </c>
      <c r="C46" s="279">
        <f>B46/'- 3 -'!D46</f>
        <v>0.0033453684448158556</v>
      </c>
      <c r="D46" s="309">
        <v>22974264</v>
      </c>
      <c r="E46" s="279">
        <f>D46/'- 3 -'!D46</f>
        <v>0.09168855110023919</v>
      </c>
      <c r="F46" s="309">
        <v>7670175</v>
      </c>
      <c r="G46" s="279">
        <f>F46/'- 3 -'!D46</f>
        <v>0.030611088670143127</v>
      </c>
    </row>
    <row r="47" spans="1:7" ht="13.5" customHeight="1">
      <c r="A47" s="387" t="s">
        <v>365</v>
      </c>
      <c r="B47" s="308">
        <v>0</v>
      </c>
      <c r="C47" s="278">
        <f>B47/'- 3 -'!D47</f>
        <v>0</v>
      </c>
      <c r="D47" s="308">
        <v>543348</v>
      </c>
      <c r="E47" s="278">
        <f>D47/'- 3 -'!D47</f>
        <v>0.09768508771914054</v>
      </c>
      <c r="F47" s="308">
        <v>28309</v>
      </c>
      <c r="G47" s="278">
        <f>F47/'- 3 -'!D47</f>
        <v>0.005089495403021911</v>
      </c>
    </row>
    <row r="48" spans="1:7" ht="4.5" customHeight="1">
      <c r="A48" s="389"/>
      <c r="B48" s="310"/>
      <c r="C48" s="162"/>
      <c r="D48" s="310"/>
      <c r="E48" s="162"/>
      <c r="F48" s="310"/>
      <c r="G48" s="162"/>
    </row>
    <row r="49" spans="1:7" ht="13.5" customHeight="1">
      <c r="A49" s="383" t="s">
        <v>362</v>
      </c>
      <c r="B49" s="311">
        <f>SUM(B11:B47)</f>
        <v>5158664.95</v>
      </c>
      <c r="C49" s="81">
        <f>B49/'- 3 -'!D49</f>
        <v>0.003828329278931389</v>
      </c>
      <c r="D49" s="311">
        <f>SUM(D11:D47)</f>
        <v>128863132.17</v>
      </c>
      <c r="E49" s="81">
        <f>D49/'- 3 -'!D49</f>
        <v>0.09563142918619214</v>
      </c>
      <c r="F49" s="311">
        <f>SUM(F11:F47)</f>
        <v>16461127.45</v>
      </c>
      <c r="G49" s="81">
        <f>F49/'- 3 -'!D49</f>
        <v>0.012216070784177637</v>
      </c>
    </row>
    <row r="50" spans="1:7" ht="4.5" customHeight="1">
      <c r="A50" s="389" t="s">
        <v>15</v>
      </c>
      <c r="B50" s="310"/>
      <c r="C50" s="162"/>
      <c r="D50" s="310"/>
      <c r="E50" s="162"/>
      <c r="F50" s="310"/>
      <c r="G50" s="162"/>
    </row>
    <row r="51" spans="1:7" ht="13.5" customHeight="1">
      <c r="A51" s="388" t="s">
        <v>363</v>
      </c>
      <c r="B51" s="309">
        <v>0</v>
      </c>
      <c r="C51" s="279">
        <f>B51/'- 3 -'!D51</f>
        <v>0</v>
      </c>
      <c r="D51" s="309">
        <v>133082</v>
      </c>
      <c r="E51" s="279">
        <f>D51/'- 3 -'!D51</f>
        <v>0.10533772788004281</v>
      </c>
      <c r="F51" s="309">
        <v>40778</v>
      </c>
      <c r="G51" s="279">
        <f>F51/'- 3 -'!D51</f>
        <v>0.0322768057850978</v>
      </c>
    </row>
    <row r="52" spans="1:7" ht="13.5" customHeight="1">
      <c r="A52" s="387" t="s">
        <v>364</v>
      </c>
      <c r="B52" s="308">
        <v>0</v>
      </c>
      <c r="C52" s="278">
        <f>B52/'- 3 -'!D52</f>
        <v>0</v>
      </c>
      <c r="D52" s="308">
        <v>323300</v>
      </c>
      <c r="E52" s="278">
        <f>D52/'- 3 -'!D52</f>
        <v>0.13558062518058894</v>
      </c>
      <c r="F52" s="308">
        <v>0</v>
      </c>
      <c r="G52" s="278">
        <f>F52/'- 3 -'!D52</f>
        <v>0</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8"/>
  <sheetViews>
    <sheetView showGridLines="0" showZeros="0" workbookViewId="0" topLeftCell="A1">
      <selection activeCell="A1" sqref="A1"/>
    </sheetView>
  </sheetViews>
  <sheetFormatPr defaultColWidth="15.83203125" defaultRowHeight="12"/>
  <cols>
    <col min="1" max="1" width="33.83203125" style="67" customWidth="1"/>
    <col min="2" max="2" width="19.83203125" style="67" customWidth="1"/>
    <col min="3" max="3" width="15.83203125" style="67" customWidth="1"/>
    <col min="4" max="4" width="19.83203125" style="67" customWidth="1"/>
    <col min="5" max="5" width="15.83203125" style="67" customWidth="1"/>
    <col min="6" max="6" width="29.83203125" style="67" customWidth="1"/>
    <col min="7" max="16384" width="15.83203125" style="67" customWidth="1"/>
  </cols>
  <sheetData>
    <row r="1" spans="1:6" ht="6.75" customHeight="1">
      <c r="A1" s="65"/>
      <c r="B1" s="65"/>
      <c r="C1" s="65"/>
      <c r="D1" s="116"/>
      <c r="E1" s="116"/>
      <c r="F1" s="116"/>
    </row>
    <row r="2" spans="1:6" ht="15.75" customHeight="1">
      <c r="A2" s="333"/>
      <c r="B2" s="360" t="s">
        <v>12</v>
      </c>
      <c r="C2" s="163"/>
      <c r="D2" s="165"/>
      <c r="E2" s="164"/>
      <c r="F2" s="336" t="s">
        <v>294</v>
      </c>
    </row>
    <row r="3" spans="1:6" ht="15.75" customHeight="1">
      <c r="A3" s="334"/>
      <c r="B3" s="456" t="str">
        <f>OPYEAR</f>
        <v>OPERATING FUND 2002/2003 ACTUAL</v>
      </c>
      <c r="C3" s="166"/>
      <c r="D3" s="168"/>
      <c r="E3" s="167"/>
      <c r="F3" s="182"/>
    </row>
    <row r="4" spans="4:6" ht="15.75" customHeight="1">
      <c r="D4" s="116"/>
      <c r="E4" s="116"/>
      <c r="F4" s="116"/>
    </row>
    <row r="5" spans="2:6" ht="15.75" customHeight="1">
      <c r="B5" s="9"/>
      <c r="D5" s="116"/>
      <c r="E5" s="116"/>
      <c r="F5" s="116"/>
    </row>
    <row r="6" spans="2:6" ht="15.75" customHeight="1">
      <c r="B6" s="270" t="s">
        <v>232</v>
      </c>
      <c r="C6" s="184"/>
      <c r="D6" s="140"/>
      <c r="E6" s="128"/>
      <c r="F6" s="125"/>
    </row>
    <row r="7" spans="2:6" ht="15.75" customHeight="1">
      <c r="B7" s="187"/>
      <c r="C7" s="52"/>
      <c r="D7" s="187"/>
      <c r="E7" s="52"/>
      <c r="F7" s="116"/>
    </row>
    <row r="8" spans="1:6" ht="15.75" customHeight="1">
      <c r="A8" s="313"/>
      <c r="B8" s="55" t="s">
        <v>93</v>
      </c>
      <c r="C8" s="56"/>
      <c r="D8" s="54" t="s">
        <v>94</v>
      </c>
      <c r="E8" s="56"/>
      <c r="F8" s="116"/>
    </row>
    <row r="9" spans="1:5" ht="15.75" customHeight="1">
      <c r="A9" s="314" t="s">
        <v>112</v>
      </c>
      <c r="B9" s="109" t="s">
        <v>113</v>
      </c>
      <c r="C9" s="109" t="s">
        <v>114</v>
      </c>
      <c r="D9" s="186" t="s">
        <v>113</v>
      </c>
      <c r="E9" s="109" t="s">
        <v>114</v>
      </c>
    </row>
    <row r="10" ht="4.5" customHeight="1">
      <c r="A10" s="62"/>
    </row>
    <row r="11" spans="1:5" ht="13.5" customHeight="1">
      <c r="A11" s="387" t="s">
        <v>327</v>
      </c>
      <c r="B11" s="308">
        <v>34175</v>
      </c>
      <c r="C11" s="278">
        <f>B11/'- 3 -'!D11</f>
        <v>0.0030590716245829535</v>
      </c>
      <c r="D11" s="308">
        <v>37334</v>
      </c>
      <c r="E11" s="278">
        <f>D11/'- 3 -'!D11</f>
        <v>0.003341839942419312</v>
      </c>
    </row>
    <row r="12" spans="1:5" ht="13.5" customHeight="1">
      <c r="A12" s="388" t="s">
        <v>328</v>
      </c>
      <c r="B12" s="309">
        <v>250620</v>
      </c>
      <c r="C12" s="279">
        <f>B12/'- 3 -'!D12</f>
        <v>0.013652893779375076</v>
      </c>
      <c r="D12" s="309">
        <v>38087</v>
      </c>
      <c r="E12" s="279">
        <f>D12/'- 3 -'!D12</f>
        <v>0.002074845444797137</v>
      </c>
    </row>
    <row r="13" spans="1:5" ht="13.5" customHeight="1">
      <c r="A13" s="387" t="s">
        <v>329</v>
      </c>
      <c r="B13" s="308">
        <v>163127</v>
      </c>
      <c r="C13" s="278">
        <f>B13/'- 3 -'!D13</f>
        <v>0.003505689430477567</v>
      </c>
      <c r="D13" s="308">
        <v>83782</v>
      </c>
      <c r="E13" s="278">
        <f>D13/'- 3 -'!D13</f>
        <v>0.0018005215069502383</v>
      </c>
    </row>
    <row r="14" spans="1:5" ht="13.5" customHeight="1">
      <c r="A14" s="388" t="s">
        <v>366</v>
      </c>
      <c r="B14" s="309">
        <v>160732</v>
      </c>
      <c r="C14" s="279">
        <f>B14/'- 3 -'!D14</f>
        <v>0.004071099308258598</v>
      </c>
      <c r="D14" s="309">
        <v>162002</v>
      </c>
      <c r="E14" s="279">
        <f>D14/'- 3 -'!D14</f>
        <v>0.0041032664941424825</v>
      </c>
    </row>
    <row r="15" spans="1:5" ht="13.5" customHeight="1">
      <c r="A15" s="387" t="s">
        <v>330</v>
      </c>
      <c r="B15" s="308">
        <v>80246</v>
      </c>
      <c r="C15" s="278">
        <f>B15/'- 3 -'!D15</f>
        <v>0.006391274110043394</v>
      </c>
      <c r="D15" s="308">
        <v>24083</v>
      </c>
      <c r="E15" s="278">
        <f>D15/'- 3 -'!D15</f>
        <v>0.0019181149763499124</v>
      </c>
    </row>
    <row r="16" spans="1:5" ht="13.5" customHeight="1">
      <c r="A16" s="388" t="s">
        <v>331</v>
      </c>
      <c r="B16" s="309">
        <v>37529</v>
      </c>
      <c r="C16" s="279">
        <f>B16/'- 3 -'!D16</f>
        <v>0.0034801121084050888</v>
      </c>
      <c r="D16" s="309">
        <v>6143</v>
      </c>
      <c r="E16" s="279">
        <f>D16/'- 3 -'!D16</f>
        <v>0.0005696482368816771</v>
      </c>
    </row>
    <row r="17" spans="1:5" ht="13.5" customHeight="1">
      <c r="A17" s="387" t="s">
        <v>332</v>
      </c>
      <c r="B17" s="308">
        <v>49921</v>
      </c>
      <c r="C17" s="278">
        <f>B17/'- 3 -'!D17</f>
        <v>0.004055756434606543</v>
      </c>
      <c r="D17" s="308">
        <v>34143</v>
      </c>
      <c r="E17" s="278">
        <f>D17/'- 3 -'!D17</f>
        <v>0.0027738965955564033</v>
      </c>
    </row>
    <row r="18" spans="1:5" ht="13.5" customHeight="1">
      <c r="A18" s="388" t="s">
        <v>333</v>
      </c>
      <c r="B18" s="309">
        <v>1849449.9</v>
      </c>
      <c r="C18" s="279">
        <f>B18/'- 3 -'!D18</f>
        <v>0.025569573521112308</v>
      </c>
      <c r="D18" s="309">
        <v>24328.09</v>
      </c>
      <c r="E18" s="279">
        <f>D18/'- 3 -'!D18</f>
        <v>0.00033634805997352895</v>
      </c>
    </row>
    <row r="19" spans="1:5" ht="13.5" customHeight="1">
      <c r="A19" s="387" t="s">
        <v>334</v>
      </c>
      <c r="B19" s="308">
        <v>15752</v>
      </c>
      <c r="C19" s="278">
        <f>B19/'- 3 -'!D19</f>
        <v>0.0008909185804938603</v>
      </c>
      <c r="D19" s="308">
        <v>16165</v>
      </c>
      <c r="E19" s="278">
        <f>D19/'- 3 -'!D19</f>
        <v>0.0009142774792841069</v>
      </c>
    </row>
    <row r="20" spans="1:5" ht="13.5" customHeight="1">
      <c r="A20" s="388" t="s">
        <v>335</v>
      </c>
      <c r="B20" s="309">
        <v>69537</v>
      </c>
      <c r="C20" s="279">
        <f>B20/'- 3 -'!D20</f>
        <v>0.0020796062394467544</v>
      </c>
      <c r="D20" s="309">
        <v>102719</v>
      </c>
      <c r="E20" s="279">
        <f>D20/'- 3 -'!D20</f>
        <v>0.0030719627437153047</v>
      </c>
    </row>
    <row r="21" spans="1:5" ht="13.5" customHeight="1">
      <c r="A21" s="387" t="s">
        <v>336</v>
      </c>
      <c r="B21" s="308">
        <v>170491</v>
      </c>
      <c r="C21" s="278">
        <f>B21/'- 3 -'!D21</f>
        <v>0.00732873056161157</v>
      </c>
      <c r="D21" s="308">
        <v>102510</v>
      </c>
      <c r="E21" s="278">
        <f>D21/'- 3 -'!D21</f>
        <v>0.004406497526970937</v>
      </c>
    </row>
    <row r="22" spans="1:5" ht="13.5" customHeight="1">
      <c r="A22" s="388" t="s">
        <v>337</v>
      </c>
      <c r="B22" s="309">
        <v>30862</v>
      </c>
      <c r="C22" s="279">
        <f>B22/'- 3 -'!D22</f>
        <v>0.0024105993887972195</v>
      </c>
      <c r="D22" s="309">
        <v>2969</v>
      </c>
      <c r="E22" s="279">
        <f>D22/'- 3 -'!D22</f>
        <v>0.00023190556624129818</v>
      </c>
    </row>
    <row r="23" spans="1:5" ht="13.5" customHeight="1">
      <c r="A23" s="387" t="s">
        <v>338</v>
      </c>
      <c r="B23" s="308">
        <v>41986</v>
      </c>
      <c r="C23" s="278">
        <f>B23/'- 3 -'!D23</f>
        <v>0.00392216172709635</v>
      </c>
      <c r="D23" s="308">
        <v>1614</v>
      </c>
      <c r="E23" s="278">
        <f>D23/'- 3 -'!D23</f>
        <v>0.00015077332986075139</v>
      </c>
    </row>
    <row r="24" spans="1:5" ht="13.5" customHeight="1">
      <c r="A24" s="388" t="s">
        <v>339</v>
      </c>
      <c r="B24" s="309">
        <v>127123</v>
      </c>
      <c r="C24" s="279">
        <f>B24/'- 3 -'!D24</f>
        <v>0.0038126175781585956</v>
      </c>
      <c r="D24" s="309">
        <v>84318</v>
      </c>
      <c r="E24" s="279">
        <f>D24/'- 3 -'!D24</f>
        <v>0.002528828685251107</v>
      </c>
    </row>
    <row r="25" spans="1:5" ht="13.5" customHeight="1">
      <c r="A25" s="387" t="s">
        <v>340</v>
      </c>
      <c r="B25" s="308">
        <v>220751</v>
      </c>
      <c r="C25" s="278">
        <f>B25/'- 3 -'!D25</f>
        <v>0.0021333388224883142</v>
      </c>
      <c r="D25" s="308">
        <v>171427</v>
      </c>
      <c r="E25" s="278">
        <f>D25/'- 3 -'!D25</f>
        <v>0.001656671427638852</v>
      </c>
    </row>
    <row r="26" spans="1:5" ht="13.5" customHeight="1">
      <c r="A26" s="388" t="s">
        <v>341</v>
      </c>
      <c r="B26" s="309">
        <v>137921.03</v>
      </c>
      <c r="C26" s="279">
        <f>B26/'- 3 -'!D26</f>
        <v>0.005342389747395382</v>
      </c>
      <c r="D26" s="309">
        <v>29588</v>
      </c>
      <c r="E26" s="279">
        <f>D26/'- 3 -'!D26</f>
        <v>0.0011460951810317438</v>
      </c>
    </row>
    <row r="27" spans="1:5" ht="13.5" customHeight="1">
      <c r="A27" s="387" t="s">
        <v>342</v>
      </c>
      <c r="B27" s="308">
        <v>147234</v>
      </c>
      <c r="C27" s="278">
        <f>B27/'- 3 -'!D27</f>
        <v>0.005731104266946751</v>
      </c>
      <c r="D27" s="308">
        <v>73096</v>
      </c>
      <c r="E27" s="278">
        <f>D27/'- 3 -'!D27</f>
        <v>0.0028452721348108433</v>
      </c>
    </row>
    <row r="28" spans="1:5" ht="13.5" customHeight="1">
      <c r="A28" s="388" t="s">
        <v>343</v>
      </c>
      <c r="B28" s="309">
        <v>38484</v>
      </c>
      <c r="C28" s="279">
        <f>B28/'- 3 -'!D28</f>
        <v>0.002391363052842558</v>
      </c>
      <c r="D28" s="309">
        <v>41854</v>
      </c>
      <c r="E28" s="279">
        <f>D28/'- 3 -'!D28</f>
        <v>0.0026007719887140737</v>
      </c>
    </row>
    <row r="29" spans="1:5" ht="13.5" customHeight="1">
      <c r="A29" s="387" t="s">
        <v>344</v>
      </c>
      <c r="B29" s="308">
        <v>436199</v>
      </c>
      <c r="C29" s="278">
        <f>B29/'- 3 -'!D29</f>
        <v>0.004469445801487563</v>
      </c>
      <c r="D29" s="308">
        <v>334309</v>
      </c>
      <c r="E29" s="278">
        <f>D29/'- 3 -'!D29</f>
        <v>0.0034254456256192826</v>
      </c>
    </row>
    <row r="30" spans="1:5" ht="13.5" customHeight="1">
      <c r="A30" s="388" t="s">
        <v>345</v>
      </c>
      <c r="B30" s="309">
        <v>35604</v>
      </c>
      <c r="C30" s="279">
        <f>B30/'- 3 -'!D30</f>
        <v>0.0036952975771119886</v>
      </c>
      <c r="D30" s="309">
        <v>11574</v>
      </c>
      <c r="E30" s="279">
        <f>D30/'- 3 -'!D30</f>
        <v>0.0012012519424079923</v>
      </c>
    </row>
    <row r="31" spans="1:5" ht="13.5" customHeight="1">
      <c r="A31" s="387" t="s">
        <v>346</v>
      </c>
      <c r="B31" s="308">
        <v>46592</v>
      </c>
      <c r="C31" s="278">
        <f>B31/'- 3 -'!D31</f>
        <v>0.0019098887655400842</v>
      </c>
      <c r="D31" s="308">
        <v>24155</v>
      </c>
      <c r="E31" s="278">
        <f>D31/'- 3 -'!D31</f>
        <v>0.0009901563172137005</v>
      </c>
    </row>
    <row r="32" spans="1:5" ht="13.5" customHeight="1">
      <c r="A32" s="388" t="s">
        <v>347</v>
      </c>
      <c r="B32" s="309">
        <v>89446</v>
      </c>
      <c r="C32" s="279">
        <f>B32/'- 3 -'!D32</f>
        <v>0.0049205828078975776</v>
      </c>
      <c r="D32" s="309">
        <v>32938</v>
      </c>
      <c r="E32" s="279">
        <f>D32/'- 3 -'!D32</f>
        <v>0.0018119776907467122</v>
      </c>
    </row>
    <row r="33" spans="1:5" ht="13.5" customHeight="1">
      <c r="A33" s="387" t="s">
        <v>348</v>
      </c>
      <c r="B33" s="308">
        <v>84469</v>
      </c>
      <c r="C33" s="278">
        <f>B33/'- 3 -'!D33</f>
        <v>0.003896730034142808</v>
      </c>
      <c r="D33" s="308">
        <v>64175</v>
      </c>
      <c r="E33" s="278">
        <f>D33/'- 3 -'!D33</f>
        <v>0.002960525754313591</v>
      </c>
    </row>
    <row r="34" spans="1:5" ht="13.5" customHeight="1">
      <c r="A34" s="388" t="s">
        <v>349</v>
      </c>
      <c r="B34" s="309">
        <v>62291</v>
      </c>
      <c r="C34" s="279">
        <f>B34/'- 3 -'!D34</f>
        <v>0.0037907751555053674</v>
      </c>
      <c r="D34" s="309">
        <v>60189</v>
      </c>
      <c r="E34" s="279">
        <f>D34/'- 3 -'!D34</f>
        <v>0.0036628560439664246</v>
      </c>
    </row>
    <row r="35" spans="1:5" ht="13.5" customHeight="1">
      <c r="A35" s="387" t="s">
        <v>350</v>
      </c>
      <c r="B35" s="308">
        <v>292427</v>
      </c>
      <c r="C35" s="278">
        <f>B35/'- 3 -'!D35</f>
        <v>0.002389613697328112</v>
      </c>
      <c r="D35" s="308">
        <v>209802</v>
      </c>
      <c r="E35" s="278">
        <f>D35/'- 3 -'!D35</f>
        <v>0.0017144303806653713</v>
      </c>
    </row>
    <row r="36" spans="1:5" ht="13.5" customHeight="1">
      <c r="A36" s="388" t="s">
        <v>351</v>
      </c>
      <c r="B36" s="309">
        <v>53913</v>
      </c>
      <c r="C36" s="279">
        <f>B36/'- 3 -'!D36</f>
        <v>0.0033861259467011604</v>
      </c>
      <c r="D36" s="309">
        <v>0</v>
      </c>
      <c r="E36" s="279">
        <f>D36/'- 3 -'!D36</f>
        <v>0</v>
      </c>
    </row>
    <row r="37" spans="1:5" ht="13.5" customHeight="1">
      <c r="A37" s="387" t="s">
        <v>352</v>
      </c>
      <c r="B37" s="308">
        <v>26541</v>
      </c>
      <c r="C37" s="278">
        <f>B37/'- 3 -'!D37</f>
        <v>0.0011347094323421645</v>
      </c>
      <c r="D37" s="308">
        <v>95742</v>
      </c>
      <c r="E37" s="278">
        <f>D37/'- 3 -'!D37</f>
        <v>0.004093265154715479</v>
      </c>
    </row>
    <row r="38" spans="1:5" ht="13.5" customHeight="1">
      <c r="A38" s="388" t="s">
        <v>353</v>
      </c>
      <c r="B38" s="309">
        <v>352436</v>
      </c>
      <c r="C38" s="279">
        <f>B38/'- 3 -'!D38</f>
        <v>0.005726888934158864</v>
      </c>
      <c r="D38" s="309">
        <v>131347</v>
      </c>
      <c r="E38" s="279">
        <f>D38/'- 3 -'!D38</f>
        <v>0.002134315679541716</v>
      </c>
    </row>
    <row r="39" spans="1:5" ht="13.5" customHeight="1">
      <c r="A39" s="387" t="s">
        <v>354</v>
      </c>
      <c r="B39" s="308">
        <v>22004</v>
      </c>
      <c r="C39" s="278">
        <f>B39/'- 3 -'!D39</f>
        <v>0.0014987770734463234</v>
      </c>
      <c r="D39" s="308">
        <v>17787</v>
      </c>
      <c r="E39" s="278">
        <f>D39/'- 3 -'!D39</f>
        <v>0.0012115409837024974</v>
      </c>
    </row>
    <row r="40" spans="1:5" ht="13.5" customHeight="1">
      <c r="A40" s="388" t="s">
        <v>355</v>
      </c>
      <c r="B40" s="309">
        <v>390663</v>
      </c>
      <c r="C40" s="279">
        <f>B40/'- 3 -'!D40</f>
        <v>0.006293792378073934</v>
      </c>
      <c r="D40" s="309">
        <v>192137</v>
      </c>
      <c r="E40" s="279">
        <f>D40/'- 3 -'!D40</f>
        <v>0.003095431064999735</v>
      </c>
    </row>
    <row r="41" spans="1:5" ht="13.5" customHeight="1">
      <c r="A41" s="387" t="s">
        <v>356</v>
      </c>
      <c r="B41" s="308">
        <v>95548</v>
      </c>
      <c r="C41" s="278">
        <f>B41/'- 3 -'!D41</f>
        <v>0.0025439817862533977</v>
      </c>
      <c r="D41" s="308">
        <v>79122</v>
      </c>
      <c r="E41" s="278">
        <f>D41/'- 3 -'!D41</f>
        <v>0.002106636736425057</v>
      </c>
    </row>
    <row r="42" spans="1:5" ht="13.5" customHeight="1">
      <c r="A42" s="388" t="s">
        <v>357</v>
      </c>
      <c r="B42" s="309">
        <v>90874</v>
      </c>
      <c r="C42" s="279">
        <f>B42/'- 3 -'!D42</f>
        <v>0.00624991059176696</v>
      </c>
      <c r="D42" s="309">
        <v>65393</v>
      </c>
      <c r="E42" s="279">
        <f>D42/'- 3 -'!D42</f>
        <v>0.0044974404486147505</v>
      </c>
    </row>
    <row r="43" spans="1:5" ht="13.5" customHeight="1">
      <c r="A43" s="387" t="s">
        <v>358</v>
      </c>
      <c r="B43" s="308">
        <v>40536</v>
      </c>
      <c r="C43" s="278">
        <f>B43/'- 3 -'!D43</f>
        <v>0.004447394062527052</v>
      </c>
      <c r="D43" s="308">
        <v>8654</v>
      </c>
      <c r="E43" s="278">
        <f>D43/'- 3 -'!D43</f>
        <v>0.0009494707967512607</v>
      </c>
    </row>
    <row r="44" spans="1:5" ht="13.5" customHeight="1">
      <c r="A44" s="388" t="s">
        <v>359</v>
      </c>
      <c r="B44" s="309">
        <v>26636</v>
      </c>
      <c r="C44" s="279">
        <f>B44/'- 3 -'!D44</f>
        <v>0.004069493541567385</v>
      </c>
      <c r="D44" s="309">
        <v>12643</v>
      </c>
      <c r="E44" s="279">
        <f>D44/'- 3 -'!D44</f>
        <v>0.0019316191187128866</v>
      </c>
    </row>
    <row r="45" spans="1:5" ht="13.5" customHeight="1">
      <c r="A45" s="387" t="s">
        <v>360</v>
      </c>
      <c r="B45" s="308">
        <v>10978</v>
      </c>
      <c r="C45" s="278">
        <f>B45/'- 3 -'!D45</f>
        <v>0.0011101448102904296</v>
      </c>
      <c r="D45" s="308">
        <v>5642</v>
      </c>
      <c r="E45" s="278">
        <f>D45/'- 3 -'!D45</f>
        <v>0.0005705444543321737</v>
      </c>
    </row>
    <row r="46" spans="1:5" ht="13.5" customHeight="1">
      <c r="A46" s="388" t="s">
        <v>361</v>
      </c>
      <c r="B46" s="309">
        <v>2438906</v>
      </c>
      <c r="C46" s="279">
        <f>B46/'- 3 -'!D46</f>
        <v>0.009733489499802036</v>
      </c>
      <c r="D46" s="309">
        <v>531427</v>
      </c>
      <c r="E46" s="279">
        <f>D46/'- 3 -'!D46</f>
        <v>0.0021208849887659866</v>
      </c>
    </row>
    <row r="47" spans="1:5" ht="13.5" customHeight="1">
      <c r="A47" s="387" t="s">
        <v>365</v>
      </c>
      <c r="B47" s="308">
        <v>0</v>
      </c>
      <c r="C47" s="278">
        <f>B47/'- 3 -'!D47</f>
        <v>0</v>
      </c>
      <c r="D47" s="308">
        <v>20748</v>
      </c>
      <c r="E47" s="278">
        <f>D47/'- 3 -'!D47</f>
        <v>0.0037301512106361445</v>
      </c>
    </row>
    <row r="48" spans="1:5" ht="4.5" customHeight="1">
      <c r="A48" s="389"/>
      <c r="B48" s="310"/>
      <c r="C48" s="162"/>
      <c r="D48" s="310"/>
      <c r="E48" s="162"/>
    </row>
    <row r="49" spans="1:5" ht="13.5" customHeight="1">
      <c r="A49" s="383" t="s">
        <v>362</v>
      </c>
      <c r="B49" s="311">
        <f>SUM(B11:B47)</f>
        <v>8222003.93</v>
      </c>
      <c r="C49" s="81">
        <f>B49/'- 3 -'!D49</f>
        <v>0.006101683028805339</v>
      </c>
      <c r="D49" s="311">
        <f>SUM(D11:D47)</f>
        <v>2933946.09</v>
      </c>
      <c r="E49" s="81">
        <f>D49/'- 3 -'!D49</f>
        <v>0.0021773291787739128</v>
      </c>
    </row>
    <row r="50" spans="1:5" ht="4.5" customHeight="1">
      <c r="A50" s="389" t="s">
        <v>15</v>
      </c>
      <c r="B50" s="310"/>
      <c r="C50" s="162"/>
      <c r="D50" s="310"/>
      <c r="E50" s="162"/>
    </row>
    <row r="51" spans="1:5" ht="13.5" customHeight="1">
      <c r="A51" s="388" t="s">
        <v>363</v>
      </c>
      <c r="B51" s="309">
        <v>0</v>
      </c>
      <c r="C51" s="279">
        <f>B51/'- 3 -'!D51</f>
        <v>0</v>
      </c>
      <c r="D51" s="309">
        <v>0</v>
      </c>
      <c r="E51" s="279">
        <f>D51/'- 3 -'!D51</f>
        <v>0</v>
      </c>
    </row>
    <row r="52" spans="1:5" ht="13.5" customHeight="1">
      <c r="A52" s="387" t="s">
        <v>364</v>
      </c>
      <c r="B52" s="308">
        <v>0</v>
      </c>
      <c r="C52" s="278">
        <f>B52/'- 3 -'!D52</f>
        <v>0</v>
      </c>
      <c r="D52" s="308">
        <v>3627</v>
      </c>
      <c r="E52" s="278">
        <f>D52/'- 3 -'!D52</f>
        <v>0.001521035965140724</v>
      </c>
    </row>
    <row r="53" ht="49.5" customHeight="1"/>
    <row r="54" ht="12" customHeight="1">
      <c r="A54" s="3"/>
    </row>
    <row r="55" ht="12" customHeight="1">
      <c r="A55" s="3"/>
    </row>
    <row r="56" ht="12" customHeight="1">
      <c r="A56" s="3"/>
    </row>
    <row r="57" ht="12" customHeight="1">
      <c r="A57" s="3"/>
    </row>
    <row r="58" ht="12" customHeight="1">
      <c r="A58" s="3"/>
    </row>
    <row r="59" ht="12" customHeight="1"/>
    <row r="60" ht="12" customHeight="1"/>
    <row r="61"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59"/>
  <sheetViews>
    <sheetView showGridLines="0" showZeros="0" workbookViewId="0" topLeftCell="A1">
      <selection activeCell="A1" sqref="A1"/>
    </sheetView>
  </sheetViews>
  <sheetFormatPr defaultColWidth="15.83203125" defaultRowHeight="12"/>
  <cols>
    <col min="1" max="1" width="40.83203125" style="9" customWidth="1"/>
    <col min="2" max="2" width="27.83203125" style="9" customWidth="1"/>
    <col min="3" max="3" width="20.83203125" style="9" customWidth="1"/>
    <col min="4" max="4" width="27.83203125" style="9" customWidth="1"/>
    <col min="5" max="5" width="20.83203125" style="9" customWidth="1"/>
    <col min="6" max="16384" width="15.83203125" style="9" customWidth="1"/>
  </cols>
  <sheetData>
    <row r="1" spans="1:5" ht="6.75" customHeight="1">
      <c r="A1" s="12"/>
      <c r="B1" s="43"/>
      <c r="C1" s="43"/>
      <c r="D1" s="43"/>
      <c r="E1" s="43"/>
    </row>
    <row r="2" spans="1:5" ht="15.75" customHeight="1">
      <c r="A2" s="220"/>
      <c r="B2" s="470" t="s">
        <v>22</v>
      </c>
      <c r="C2" s="220"/>
      <c r="D2" s="220"/>
      <c r="E2" s="219"/>
    </row>
    <row r="3" spans="1:5" ht="15.75" customHeight="1">
      <c r="A3" s="217"/>
      <c r="B3" s="47"/>
      <c r="C3" s="221"/>
      <c r="D3" s="221"/>
      <c r="E3" s="221"/>
    </row>
    <row r="4" spans="2:5" ht="15.75" customHeight="1">
      <c r="B4" s="43"/>
      <c r="C4" s="222"/>
      <c r="D4" s="223"/>
      <c r="E4" s="222"/>
    </row>
    <row r="5" spans="2:5" ht="15.75" customHeight="1">
      <c r="B5" s="43"/>
      <c r="C5" s="43"/>
      <c r="D5" s="43"/>
      <c r="E5" s="43"/>
    </row>
    <row r="6" spans="2:5" ht="15.75" customHeight="1">
      <c r="B6" s="43"/>
      <c r="C6" s="43"/>
      <c r="D6" s="43"/>
      <c r="E6" s="43"/>
    </row>
    <row r="7" spans="2:5" ht="15.75" customHeight="1">
      <c r="B7" s="154" t="s">
        <v>417</v>
      </c>
      <c r="C7" s="224"/>
      <c r="D7" s="154" t="s">
        <v>418</v>
      </c>
      <c r="E7" s="374"/>
    </row>
    <row r="8" spans="1:5" ht="15.75" customHeight="1">
      <c r="A8" s="35"/>
      <c r="B8" s="225" t="s">
        <v>49</v>
      </c>
      <c r="C8" s="226"/>
      <c r="D8" s="225" t="s">
        <v>49</v>
      </c>
      <c r="E8" s="226"/>
    </row>
    <row r="9" spans="1:5" ht="15.75" customHeight="1">
      <c r="A9" s="314" t="s">
        <v>112</v>
      </c>
      <c r="B9" s="227" t="s">
        <v>374</v>
      </c>
      <c r="C9" s="227" t="s">
        <v>124</v>
      </c>
      <c r="D9" s="227" t="s">
        <v>374</v>
      </c>
      <c r="E9" s="227" t="s">
        <v>124</v>
      </c>
    </row>
    <row r="10" ht="4.5" customHeight="1">
      <c r="A10" s="62"/>
    </row>
    <row r="11" spans="1:5" ht="13.5" customHeight="1">
      <c r="A11" s="387" t="s">
        <v>327</v>
      </c>
      <c r="B11" s="362">
        <v>10756201</v>
      </c>
      <c r="C11" s="362">
        <v>6515</v>
      </c>
      <c r="D11" s="362">
        <f>'- 3 -'!F11</f>
        <v>11166615.04</v>
      </c>
      <c r="E11" s="362">
        <f>ROUND(D11/'- 7 -'!F11,0)</f>
        <v>6882</v>
      </c>
    </row>
    <row r="12" spans="1:5" ht="13.5" customHeight="1">
      <c r="A12" s="388" t="s">
        <v>328</v>
      </c>
      <c r="B12" s="416" t="s">
        <v>240</v>
      </c>
      <c r="C12" s="416" t="s">
        <v>240</v>
      </c>
      <c r="D12" s="361">
        <f>'- 3 -'!F12</f>
        <v>17883408</v>
      </c>
      <c r="E12" s="361">
        <f>ROUND(D12/'- 7 -'!F12,0)</f>
        <v>7610</v>
      </c>
    </row>
    <row r="13" spans="1:5" ht="13.5" customHeight="1">
      <c r="A13" s="387" t="s">
        <v>329</v>
      </c>
      <c r="B13" s="362">
        <v>44745761</v>
      </c>
      <c r="C13" s="362">
        <v>6046</v>
      </c>
      <c r="D13" s="362">
        <f>'- 3 -'!F13</f>
        <v>46472088</v>
      </c>
      <c r="E13" s="362">
        <f>ROUND(D13/'- 7 -'!F13,0)</f>
        <v>6372</v>
      </c>
    </row>
    <row r="14" spans="1:5" ht="13.5" customHeight="1">
      <c r="A14" s="388" t="s">
        <v>366</v>
      </c>
      <c r="B14" s="361">
        <v>36065529</v>
      </c>
      <c r="C14" s="361">
        <v>8464</v>
      </c>
      <c r="D14" s="361">
        <f>'- 3 -'!F14</f>
        <v>39328158</v>
      </c>
      <c r="E14" s="361">
        <f>ROUND(D14/'- 7 -'!F14,0)</f>
        <v>9191</v>
      </c>
    </row>
    <row r="15" spans="1:5" ht="13.5" customHeight="1">
      <c r="A15" s="387" t="s">
        <v>330</v>
      </c>
      <c r="B15" s="362">
        <v>11512899</v>
      </c>
      <c r="C15" s="362">
        <v>6521</v>
      </c>
      <c r="D15" s="362">
        <f>'- 3 -'!F15</f>
        <v>12289896</v>
      </c>
      <c r="E15" s="362">
        <f>ROUND(D15/'- 7 -'!F15,0)</f>
        <v>7289</v>
      </c>
    </row>
    <row r="16" spans="1:5" ht="13.5" customHeight="1">
      <c r="A16" s="388" t="s">
        <v>331</v>
      </c>
      <c r="B16" s="361">
        <v>10934169.56</v>
      </c>
      <c r="C16" s="361">
        <v>7607</v>
      </c>
      <c r="D16" s="361">
        <f>'- 3 -'!F16</f>
        <v>10778848</v>
      </c>
      <c r="E16" s="361">
        <f>ROUND(D16/'- 7 -'!F16,0)</f>
        <v>7649</v>
      </c>
    </row>
    <row r="17" spans="1:5" ht="13.5" customHeight="1">
      <c r="A17" s="387" t="s">
        <v>332</v>
      </c>
      <c r="B17" s="362">
        <v>12125019</v>
      </c>
      <c r="C17" s="362">
        <v>7323</v>
      </c>
      <c r="D17" s="362">
        <f>'- 3 -'!F17</f>
        <v>12256252</v>
      </c>
      <c r="E17" s="362">
        <f>ROUND(D17/'- 7 -'!F17,0)</f>
        <v>7803</v>
      </c>
    </row>
    <row r="18" spans="1:5" ht="13.5" customHeight="1">
      <c r="A18" s="388" t="s">
        <v>333</v>
      </c>
      <c r="B18" s="416" t="s">
        <v>240</v>
      </c>
      <c r="C18" s="416" t="s">
        <v>240</v>
      </c>
      <c r="D18" s="361">
        <f>'- 3 -'!F18</f>
        <v>70422417.4</v>
      </c>
      <c r="E18" s="361">
        <f>ROUND(D18/'- 7 -'!F18,0)</f>
        <v>11878</v>
      </c>
    </row>
    <row r="19" spans="1:5" ht="13.5" customHeight="1">
      <c r="A19" s="387" t="s">
        <v>334</v>
      </c>
      <c r="B19" s="362">
        <v>16081059</v>
      </c>
      <c r="C19" s="362">
        <v>5656</v>
      </c>
      <c r="D19" s="362">
        <f>'- 3 -'!F19</f>
        <v>17680628</v>
      </c>
      <c r="E19" s="362">
        <f>ROUND(D19/'- 7 -'!F19,0)</f>
        <v>6040</v>
      </c>
    </row>
    <row r="20" spans="1:5" ht="13.5" customHeight="1">
      <c r="A20" s="388" t="s">
        <v>335</v>
      </c>
      <c r="B20" s="361">
        <v>31848328</v>
      </c>
      <c r="C20" s="361">
        <v>5313</v>
      </c>
      <c r="D20" s="361">
        <f>'- 3 -'!F20</f>
        <v>33325751</v>
      </c>
      <c r="E20" s="361">
        <f>ROUND(D20/'- 7 -'!F20,0)</f>
        <v>5444</v>
      </c>
    </row>
    <row r="21" spans="1:5" ht="13.5" customHeight="1">
      <c r="A21" s="387" t="s">
        <v>336</v>
      </c>
      <c r="B21" s="362">
        <v>21975606</v>
      </c>
      <c r="C21" s="362">
        <v>6404</v>
      </c>
      <c r="D21" s="362">
        <f>'- 3 -'!F21</f>
        <v>23180659</v>
      </c>
      <c r="E21" s="362">
        <f>ROUND(D21/'- 7 -'!F21,0)</f>
        <v>7004</v>
      </c>
    </row>
    <row r="22" spans="1:5" ht="13.5" customHeight="1">
      <c r="A22" s="388" t="s">
        <v>337</v>
      </c>
      <c r="B22" s="361">
        <v>12038017</v>
      </c>
      <c r="C22" s="361">
        <v>6389</v>
      </c>
      <c r="D22" s="361">
        <f>'- 3 -'!F22</f>
        <v>12353028</v>
      </c>
      <c r="E22" s="361">
        <f>ROUND(D22/'- 7 -'!F22,0)</f>
        <v>7309</v>
      </c>
    </row>
    <row r="23" spans="1:5" ht="13.5" customHeight="1">
      <c r="A23" s="387" t="s">
        <v>338</v>
      </c>
      <c r="B23" s="362">
        <v>10018001</v>
      </c>
      <c r="C23" s="362">
        <v>6967</v>
      </c>
      <c r="D23" s="362">
        <f>'- 3 -'!F23</f>
        <v>10509778</v>
      </c>
      <c r="E23" s="362">
        <f>ROUND(D23/'- 7 -'!F23,0)</f>
        <v>7665</v>
      </c>
    </row>
    <row r="24" spans="1:5" ht="13.5" customHeight="1">
      <c r="A24" s="388" t="s">
        <v>339</v>
      </c>
      <c r="B24" s="361">
        <v>31698953</v>
      </c>
      <c r="C24" s="361">
        <v>6722</v>
      </c>
      <c r="D24" s="361">
        <f>'- 3 -'!F24</f>
        <v>32770433.409999996</v>
      </c>
      <c r="E24" s="361">
        <f>ROUND(D24/'- 7 -'!F24,0)</f>
        <v>7106</v>
      </c>
    </row>
    <row r="25" spans="1:5" ht="13.5" customHeight="1">
      <c r="A25" s="387" t="s">
        <v>340</v>
      </c>
      <c r="B25" s="362">
        <v>99031829.57</v>
      </c>
      <c r="C25" s="362">
        <v>6739</v>
      </c>
      <c r="D25" s="362">
        <f>'- 3 -'!F25</f>
        <v>102995915</v>
      </c>
      <c r="E25" s="362">
        <f>ROUND(D25/'- 7 -'!F25,0)</f>
        <v>6917</v>
      </c>
    </row>
    <row r="26" spans="1:5" ht="13.5" customHeight="1">
      <c r="A26" s="388" t="s">
        <v>341</v>
      </c>
      <c r="B26" s="416" t="s">
        <v>240</v>
      </c>
      <c r="C26" s="416" t="s">
        <v>240</v>
      </c>
      <c r="D26" s="361">
        <f>'- 3 -'!F26</f>
        <v>25696923.039999995</v>
      </c>
      <c r="E26" s="361">
        <f>ROUND(D26/'- 7 -'!F26,0)</f>
        <v>7671</v>
      </c>
    </row>
    <row r="27" spans="1:5" ht="13.5" customHeight="1">
      <c r="A27" s="387" t="s">
        <v>342</v>
      </c>
      <c r="B27" s="362">
        <v>24866582.83</v>
      </c>
      <c r="C27" s="362">
        <v>7487</v>
      </c>
      <c r="D27" s="362">
        <f>'- 3 -'!F27</f>
        <v>25682002</v>
      </c>
      <c r="E27" s="362">
        <f>ROUND(D27/'- 7 -'!F27,0)</f>
        <v>7740</v>
      </c>
    </row>
    <row r="28" spans="1:5" ht="13.5" customHeight="1">
      <c r="A28" s="388" t="s">
        <v>343</v>
      </c>
      <c r="B28" s="361">
        <v>15800626.34</v>
      </c>
      <c r="C28" s="361">
        <v>7415</v>
      </c>
      <c r="D28" s="361">
        <f>'- 3 -'!F28</f>
        <v>16069353.969999999</v>
      </c>
      <c r="E28" s="361">
        <f>ROUND(D28/'- 7 -'!F28,0)</f>
        <v>7505</v>
      </c>
    </row>
    <row r="29" spans="1:5" ht="13.5" customHeight="1">
      <c r="A29" s="387" t="s">
        <v>344</v>
      </c>
      <c r="B29" s="362">
        <v>92086418</v>
      </c>
      <c r="C29" s="362">
        <v>7047</v>
      </c>
      <c r="D29" s="362">
        <f>'- 3 -'!F29</f>
        <v>97469910</v>
      </c>
      <c r="E29" s="362">
        <f>ROUND(D29/'- 7 -'!F29,0)</f>
        <v>7453</v>
      </c>
    </row>
    <row r="30" spans="1:5" ht="13.5" customHeight="1">
      <c r="A30" s="388" t="s">
        <v>345</v>
      </c>
      <c r="B30" s="361">
        <v>9233944</v>
      </c>
      <c r="C30" s="361">
        <v>7094</v>
      </c>
      <c r="D30" s="361">
        <f>'- 3 -'!F30</f>
        <v>9629942</v>
      </c>
      <c r="E30" s="361">
        <f>ROUND(D30/'- 7 -'!F30,0)</f>
        <v>7508</v>
      </c>
    </row>
    <row r="31" spans="1:5" ht="13.5" customHeight="1">
      <c r="A31" s="387" t="s">
        <v>346</v>
      </c>
      <c r="B31" s="362">
        <v>22482395</v>
      </c>
      <c r="C31" s="362">
        <v>6292</v>
      </c>
      <c r="D31" s="362">
        <f>'- 3 -'!F31</f>
        <v>24178332</v>
      </c>
      <c r="E31" s="362">
        <f>ROUND(D31/'- 7 -'!F31,0)</f>
        <v>7185</v>
      </c>
    </row>
    <row r="32" spans="1:5" ht="13.5" customHeight="1">
      <c r="A32" s="388" t="s">
        <v>347</v>
      </c>
      <c r="B32" s="361">
        <v>17633888</v>
      </c>
      <c r="C32" s="361">
        <v>7306</v>
      </c>
      <c r="D32" s="361">
        <f>'- 3 -'!F32</f>
        <v>17898483</v>
      </c>
      <c r="E32" s="361">
        <f>ROUND(D32/'- 7 -'!F32,0)</f>
        <v>7616</v>
      </c>
    </row>
    <row r="33" spans="1:5" ht="13.5" customHeight="1">
      <c r="A33" s="387" t="s">
        <v>348</v>
      </c>
      <c r="B33" s="362">
        <v>20775197</v>
      </c>
      <c r="C33" s="362">
        <v>7859</v>
      </c>
      <c r="D33" s="362">
        <f>'- 3 -'!F33</f>
        <v>21666050</v>
      </c>
      <c r="E33" s="362">
        <f>ROUND(D33/'- 7 -'!F33,0)</f>
        <v>8690</v>
      </c>
    </row>
    <row r="34" spans="1:5" ht="13.5" customHeight="1">
      <c r="A34" s="388" t="s">
        <v>349</v>
      </c>
      <c r="B34" s="416" t="s">
        <v>240</v>
      </c>
      <c r="C34" s="416" t="s">
        <v>240</v>
      </c>
      <c r="D34" s="361">
        <f>'- 3 -'!F34</f>
        <v>16232824.79</v>
      </c>
      <c r="E34" s="361">
        <f>ROUND(D34/'- 7 -'!F34,0)</f>
        <v>7339</v>
      </c>
    </row>
    <row r="35" spans="1:5" ht="13.5" customHeight="1">
      <c r="A35" s="387" t="s">
        <v>350</v>
      </c>
      <c r="B35" s="417" t="s">
        <v>240</v>
      </c>
      <c r="C35" s="417" t="s">
        <v>240</v>
      </c>
      <c r="D35" s="362">
        <f>'- 3 -'!F35</f>
        <v>121068113</v>
      </c>
      <c r="E35" s="362">
        <f>ROUND(D35/'- 7 -'!F35,0)</f>
        <v>6795</v>
      </c>
    </row>
    <row r="36" spans="1:5" ht="13.5" customHeight="1">
      <c r="A36" s="388" t="s">
        <v>351</v>
      </c>
      <c r="B36" s="361">
        <v>14822253</v>
      </c>
      <c r="C36" s="361">
        <v>6992</v>
      </c>
      <c r="D36" s="361">
        <f>'- 3 -'!F36</f>
        <v>15786108</v>
      </c>
      <c r="E36" s="361">
        <f>ROUND(D36/'- 7 -'!F36,0)</f>
        <v>7432</v>
      </c>
    </row>
    <row r="37" spans="1:5" ht="13.5" customHeight="1">
      <c r="A37" s="387" t="s">
        <v>352</v>
      </c>
      <c r="B37" s="362">
        <v>22668627.41</v>
      </c>
      <c r="C37" s="362">
        <v>6448</v>
      </c>
      <c r="D37" s="362">
        <f>'- 3 -'!F37</f>
        <v>23109516</v>
      </c>
      <c r="E37" s="362">
        <f>ROUND(D37/'- 7 -'!F37,0)</f>
        <v>6837</v>
      </c>
    </row>
    <row r="38" spans="1:5" ht="13.5" customHeight="1">
      <c r="A38" s="388" t="s">
        <v>353</v>
      </c>
      <c r="B38" s="361">
        <v>59769772.690000005</v>
      </c>
      <c r="C38" s="361">
        <v>6977</v>
      </c>
      <c r="D38" s="361">
        <f>'- 3 -'!F38</f>
        <v>60912914.37</v>
      </c>
      <c r="E38" s="361">
        <f>ROUND(D38/'- 7 -'!F38,0)</f>
        <v>7146</v>
      </c>
    </row>
    <row r="39" spans="1:5" ht="13.5" customHeight="1">
      <c r="A39" s="387" t="s">
        <v>354</v>
      </c>
      <c r="B39" s="362">
        <v>14038864</v>
      </c>
      <c r="C39" s="362">
        <v>7649</v>
      </c>
      <c r="D39" s="362">
        <f>'- 3 -'!F39</f>
        <v>14630987.77</v>
      </c>
      <c r="E39" s="362">
        <f>ROUND(D39/'- 7 -'!F39,0)</f>
        <v>8088</v>
      </c>
    </row>
    <row r="40" spans="1:5" ht="13.5" customHeight="1">
      <c r="A40" s="388" t="s">
        <v>355</v>
      </c>
      <c r="B40" s="361">
        <v>59587646</v>
      </c>
      <c r="C40" s="361">
        <v>6518</v>
      </c>
      <c r="D40" s="361">
        <f>'- 3 -'!F40</f>
        <v>61581665</v>
      </c>
      <c r="E40" s="361">
        <f>ROUND(D40/'- 7 -'!F40,0)</f>
        <v>6753</v>
      </c>
    </row>
    <row r="41" spans="1:5" ht="13.5" customHeight="1">
      <c r="A41" s="387" t="s">
        <v>356</v>
      </c>
      <c r="B41" s="417" t="s">
        <v>240</v>
      </c>
      <c r="C41" s="417" t="s">
        <v>240</v>
      </c>
      <c r="D41" s="362">
        <f>'- 3 -'!F41</f>
        <v>36338724</v>
      </c>
      <c r="E41" s="362">
        <f>ROUND(D41/'- 7 -'!F41,0)</f>
        <v>7392</v>
      </c>
    </row>
    <row r="42" spans="1:5" ht="13.5" customHeight="1">
      <c r="A42" s="388" t="s">
        <v>357</v>
      </c>
      <c r="B42" s="361">
        <v>13867629.43</v>
      </c>
      <c r="C42" s="361">
        <v>7208</v>
      </c>
      <c r="D42" s="361">
        <f>'- 3 -'!F42</f>
        <v>14462324</v>
      </c>
      <c r="E42" s="361">
        <f>ROUND(D42/'- 7 -'!F42,0)</f>
        <v>7691</v>
      </c>
    </row>
    <row r="43" spans="1:5" ht="13.5" customHeight="1">
      <c r="A43" s="387" t="s">
        <v>358</v>
      </c>
      <c r="B43" s="362">
        <v>8892335</v>
      </c>
      <c r="C43" s="362">
        <v>7151</v>
      </c>
      <c r="D43" s="362">
        <f>'- 3 -'!F43</f>
        <v>8911455</v>
      </c>
      <c r="E43" s="362">
        <f>ROUND(D43/'- 7 -'!F43,0)</f>
        <v>7310</v>
      </c>
    </row>
    <row r="44" spans="1:5" ht="13.5" customHeight="1">
      <c r="A44" s="388" t="s">
        <v>359</v>
      </c>
      <c r="B44" s="361">
        <v>6343371.08</v>
      </c>
      <c r="C44" s="361">
        <v>7652</v>
      </c>
      <c r="D44" s="361">
        <f>'- 3 -'!F44</f>
        <v>6538212.22</v>
      </c>
      <c r="E44" s="361">
        <f>ROUND(D44/'- 7 -'!F44,0)</f>
        <v>7988</v>
      </c>
    </row>
    <row r="45" spans="1:5" ht="13.5" customHeight="1">
      <c r="A45" s="387" t="s">
        <v>360</v>
      </c>
      <c r="B45" s="362">
        <v>9012447</v>
      </c>
      <c r="C45" s="362">
        <v>6231</v>
      </c>
      <c r="D45" s="362">
        <f>'- 3 -'!F45</f>
        <v>9620939</v>
      </c>
      <c r="E45" s="362">
        <f>ROUND(D45/'- 7 -'!F45,0)</f>
        <v>6599</v>
      </c>
    </row>
    <row r="46" spans="1:5" ht="13.5" customHeight="1">
      <c r="A46" s="388" t="s">
        <v>361</v>
      </c>
      <c r="B46" s="361">
        <v>235992758.09</v>
      </c>
      <c r="C46" s="361">
        <v>7664</v>
      </c>
      <c r="D46" s="361">
        <f>'- 3 -'!F46</f>
        <v>245372715.98000002</v>
      </c>
      <c r="E46" s="361">
        <f>ROUND(D46/'- 7 -'!F46,0)</f>
        <v>7961</v>
      </c>
    </row>
    <row r="47" spans="1:5" ht="13.5" customHeight="1">
      <c r="A47" s="387" t="s">
        <v>365</v>
      </c>
      <c r="B47" s="362">
        <v>5490082</v>
      </c>
      <c r="C47" s="362">
        <v>8177</v>
      </c>
      <c r="D47" s="362">
        <f>'- 3 -'!F47</f>
        <v>5210381</v>
      </c>
      <c r="E47" s="362">
        <f>ROUND(D47/'- 7 -'!F47,0)</f>
        <v>8448</v>
      </c>
    </row>
    <row r="48" spans="1:5" ht="4.5" customHeight="1">
      <c r="A48" s="389"/>
      <c r="B48" s="322"/>
      <c r="C48" s="322"/>
      <c r="D48" s="322"/>
      <c r="E48" s="322"/>
    </row>
    <row r="49" spans="1:5" ht="13.5" customHeight="1">
      <c r="A49" s="383" t="s">
        <v>362</v>
      </c>
      <c r="B49" s="363">
        <v>1281496006.4399998</v>
      </c>
      <c r="C49" s="363">
        <v>7071</v>
      </c>
      <c r="D49" s="363">
        <f>SUM(D11:D47)</f>
        <v>1331481750.99</v>
      </c>
      <c r="E49" s="363">
        <f>ROUND(D49/'- 7 -'!F49,0)</f>
        <v>7432</v>
      </c>
    </row>
    <row r="50" spans="1:5" ht="4.5" customHeight="1">
      <c r="A50" s="389" t="s">
        <v>15</v>
      </c>
      <c r="B50" s="322"/>
      <c r="C50" s="322"/>
      <c r="D50" s="322"/>
      <c r="E50" s="322"/>
    </row>
    <row r="51" spans="1:5" ht="13.5" customHeight="1">
      <c r="A51" s="388" t="s">
        <v>363</v>
      </c>
      <c r="B51" s="361">
        <v>1190402.68</v>
      </c>
      <c r="C51" s="361">
        <v>8153</v>
      </c>
      <c r="D51" s="361">
        <f>'- 3 -'!F51</f>
        <v>1262893</v>
      </c>
      <c r="E51" s="361">
        <f>ROUND(D51/'- 7 -'!F51,0)</f>
        <v>8254</v>
      </c>
    </row>
    <row r="52" spans="1:5" ht="13.5" customHeight="1">
      <c r="A52" s="387" t="s">
        <v>364</v>
      </c>
      <c r="B52" s="362">
        <v>2140232</v>
      </c>
      <c r="C52" s="362">
        <v>8295</v>
      </c>
      <c r="D52" s="362">
        <f>'- 3 -'!F52</f>
        <v>2383651</v>
      </c>
      <c r="E52" s="362">
        <f>ROUND(D52/'- 7 -'!F52,0)</f>
        <v>8731</v>
      </c>
    </row>
    <row r="53" spans="1:5" ht="49.5" customHeight="1">
      <c r="A53" s="315"/>
      <c r="B53" s="315"/>
      <c r="C53" s="315"/>
      <c r="D53" s="315"/>
      <c r="E53" s="315"/>
    </row>
    <row r="54" spans="1:5" ht="15" customHeight="1">
      <c r="A54" s="477" t="s">
        <v>531</v>
      </c>
      <c r="B54" s="99"/>
      <c r="C54" s="99"/>
      <c r="D54" s="99"/>
      <c r="E54" s="99"/>
    </row>
    <row r="55" spans="1:5" ht="14.25" customHeight="1">
      <c r="A55" s="478" t="s">
        <v>532</v>
      </c>
      <c r="B55" s="99"/>
      <c r="C55" s="99"/>
      <c r="D55" s="99"/>
      <c r="E55" s="99"/>
    </row>
    <row r="56" spans="1:5" ht="14.25" customHeight="1">
      <c r="A56" s="478" t="s">
        <v>425</v>
      </c>
      <c r="B56" s="99"/>
      <c r="C56" s="99"/>
      <c r="D56" s="99"/>
      <c r="E56" s="99"/>
    </row>
    <row r="57" spans="1:5" ht="14.25" customHeight="1">
      <c r="A57" s="477" t="s">
        <v>423</v>
      </c>
      <c r="B57" s="99"/>
      <c r="C57" s="99"/>
      <c r="D57" s="99"/>
      <c r="E57" s="99"/>
    </row>
    <row r="58" spans="1:5" ht="14.25" customHeight="1">
      <c r="A58" s="478" t="s">
        <v>426</v>
      </c>
      <c r="B58"/>
      <c r="C58"/>
      <c r="D58"/>
      <c r="E58"/>
    </row>
    <row r="59" spans="1:5" ht="14.25" customHeight="1">
      <c r="A59" s="478" t="s">
        <v>424</v>
      </c>
      <c r="B59"/>
      <c r="C59"/>
      <c r="D59"/>
      <c r="E59"/>
    </row>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61"/>
  <sheetViews>
    <sheetView showGridLines="0" showZeros="0" workbookViewId="0" topLeftCell="A1">
      <selection activeCell="A1" sqref="A1"/>
    </sheetView>
  </sheetViews>
  <sheetFormatPr defaultColWidth="15.83203125" defaultRowHeight="12"/>
  <cols>
    <col min="1" max="1" width="33.83203125" style="67" customWidth="1"/>
    <col min="2" max="2" width="18.83203125" style="67" customWidth="1"/>
    <col min="3" max="3" width="15.83203125" style="67" customWidth="1"/>
    <col min="4" max="4" width="18.83203125" style="67" customWidth="1"/>
    <col min="5" max="5" width="15.83203125" style="67" customWidth="1"/>
    <col min="6" max="6" width="31.83203125" style="67" customWidth="1"/>
    <col min="7" max="16384" width="15.83203125" style="67" customWidth="1"/>
  </cols>
  <sheetData>
    <row r="1" spans="1:6" ht="6.75" customHeight="1">
      <c r="A1" s="65"/>
      <c r="B1" s="116"/>
      <c r="C1" s="116"/>
      <c r="D1" s="116"/>
      <c r="E1" s="116"/>
      <c r="F1" s="116"/>
    </row>
    <row r="2" spans="1:6" ht="15.75" customHeight="1">
      <c r="A2" s="333"/>
      <c r="B2" s="360" t="s">
        <v>12</v>
      </c>
      <c r="C2" s="164"/>
      <c r="D2" s="164"/>
      <c r="E2" s="164"/>
      <c r="F2" s="336" t="s">
        <v>293</v>
      </c>
    </row>
    <row r="3" spans="1:6" ht="15.75" customHeight="1">
      <c r="A3" s="334"/>
      <c r="B3" s="456" t="str">
        <f>OPYEAR</f>
        <v>OPERATING FUND 2002/2003 ACTUAL</v>
      </c>
      <c r="C3" s="167"/>
      <c r="D3" s="167"/>
      <c r="E3" s="167"/>
      <c r="F3" s="182"/>
    </row>
    <row r="4" spans="2:6" ht="15.75" customHeight="1">
      <c r="B4" s="116"/>
      <c r="C4" s="116"/>
      <c r="D4" s="116"/>
      <c r="E4" s="116"/>
      <c r="F4" s="116"/>
    </row>
    <row r="5" spans="2:6" ht="15.75" customHeight="1">
      <c r="B5" s="43"/>
      <c r="C5" s="116"/>
      <c r="D5" s="116"/>
      <c r="E5" s="116"/>
      <c r="F5" s="116"/>
    </row>
    <row r="6" spans="2:6" ht="15.75" customHeight="1">
      <c r="B6" s="270" t="s">
        <v>40</v>
      </c>
      <c r="C6" s="183"/>
      <c r="D6" s="184"/>
      <c r="E6" s="185"/>
      <c r="F6"/>
    </row>
    <row r="7" spans="2:6" ht="15.75" customHeight="1">
      <c r="B7" s="169"/>
      <c r="C7" s="52"/>
      <c r="D7" s="53" t="s">
        <v>73</v>
      </c>
      <c r="E7" s="52"/>
      <c r="F7"/>
    </row>
    <row r="8" spans="1:6" ht="15.75" customHeight="1">
      <c r="A8" s="313"/>
      <c r="B8" s="55" t="s">
        <v>95</v>
      </c>
      <c r="C8" s="56"/>
      <c r="D8" s="54" t="s">
        <v>96</v>
      </c>
      <c r="E8" s="56"/>
      <c r="F8"/>
    </row>
    <row r="9" spans="1:6" ht="15.75" customHeight="1">
      <c r="A9" s="314" t="s">
        <v>112</v>
      </c>
      <c r="B9" s="109" t="s">
        <v>113</v>
      </c>
      <c r="C9" s="109" t="s">
        <v>114</v>
      </c>
      <c r="D9" s="109" t="s">
        <v>113</v>
      </c>
      <c r="E9" s="109" t="s">
        <v>114</v>
      </c>
      <c r="F9"/>
    </row>
    <row r="10" spans="1:6" ht="4.5" customHeight="1">
      <c r="A10" s="62"/>
      <c r="F10"/>
    </row>
    <row r="11" spans="1:6" ht="13.5" customHeight="1">
      <c r="A11" s="387" t="s">
        <v>327</v>
      </c>
      <c r="B11" s="308">
        <v>14896</v>
      </c>
      <c r="C11" s="278">
        <f>B11/'- 3 -'!D11</f>
        <v>0.0013333703268408976</v>
      </c>
      <c r="D11" s="308">
        <v>178079</v>
      </c>
      <c r="E11" s="278">
        <f>D11/'- 3 -'!D11</f>
        <v>0.015940202365299423</v>
      </c>
      <c r="F11"/>
    </row>
    <row r="12" spans="1:6" ht="13.5" customHeight="1">
      <c r="A12" s="388" t="s">
        <v>328</v>
      </c>
      <c r="B12" s="309">
        <v>76401</v>
      </c>
      <c r="C12" s="279">
        <f>B12/'- 3 -'!D12</f>
        <v>0.004162057049070446</v>
      </c>
      <c r="D12" s="309">
        <v>283555</v>
      </c>
      <c r="E12" s="279">
        <f>D12/'- 3 -'!D12</f>
        <v>0.015447076432889234</v>
      </c>
      <c r="F12"/>
    </row>
    <row r="13" spans="1:6" ht="13.5" customHeight="1">
      <c r="A13" s="387" t="s">
        <v>329</v>
      </c>
      <c r="B13" s="308">
        <v>17537</v>
      </c>
      <c r="C13" s="278">
        <f>B13/'- 3 -'!D13</f>
        <v>0.0003768798270199605</v>
      </c>
      <c r="D13" s="308">
        <v>792458</v>
      </c>
      <c r="E13" s="278">
        <f>D13/'- 3 -'!D13</f>
        <v>0.01703036060675052</v>
      </c>
      <c r="F13"/>
    </row>
    <row r="14" spans="1:6" ht="13.5" customHeight="1">
      <c r="A14" s="388" t="s">
        <v>366</v>
      </c>
      <c r="B14" s="309">
        <v>87938</v>
      </c>
      <c r="C14" s="279">
        <f>B14/'- 3 -'!D14</f>
        <v>0.0022273370017771485</v>
      </c>
      <c r="D14" s="309">
        <v>598503</v>
      </c>
      <c r="E14" s="279">
        <f>D14/'- 3 -'!D14</f>
        <v>0.015159178939419007</v>
      </c>
      <c r="F14"/>
    </row>
    <row r="15" spans="1:6" ht="13.5" customHeight="1">
      <c r="A15" s="387" t="s">
        <v>330</v>
      </c>
      <c r="B15" s="308">
        <v>41227</v>
      </c>
      <c r="C15" s="278">
        <f>B15/'- 3 -'!D15</f>
        <v>0.003283566255448982</v>
      </c>
      <c r="D15" s="308">
        <v>199463</v>
      </c>
      <c r="E15" s="278">
        <f>D15/'- 3 -'!D15</f>
        <v>0.01588643306596697</v>
      </c>
      <c r="F15"/>
    </row>
    <row r="16" spans="1:6" ht="13.5" customHeight="1">
      <c r="A16" s="388" t="s">
        <v>331</v>
      </c>
      <c r="B16" s="309">
        <v>45768</v>
      </c>
      <c r="C16" s="279">
        <f>B16/'- 3 -'!D16</f>
        <v>0.004244125102653524</v>
      </c>
      <c r="D16" s="309">
        <v>159530</v>
      </c>
      <c r="E16" s="279">
        <f>D16/'- 3 -'!D16</f>
        <v>0.014793420678778113</v>
      </c>
      <c r="F16"/>
    </row>
    <row r="17" spans="1:6" ht="13.5" customHeight="1">
      <c r="A17" s="387" t="s">
        <v>332</v>
      </c>
      <c r="B17" s="308">
        <v>66361</v>
      </c>
      <c r="C17" s="278">
        <f>B17/'- 3 -'!D17</f>
        <v>0.005391399466295243</v>
      </c>
      <c r="D17" s="308">
        <v>201227</v>
      </c>
      <c r="E17" s="278">
        <f>D17/'- 3 -'!D17</f>
        <v>0.01634838444876046</v>
      </c>
      <c r="F17"/>
    </row>
    <row r="18" spans="1:6" ht="13.5" customHeight="1">
      <c r="A18" s="388" t="s">
        <v>333</v>
      </c>
      <c r="B18" s="309">
        <v>130724</v>
      </c>
      <c r="C18" s="279">
        <f>B18/'- 3 -'!D18</f>
        <v>0.0018073249396882206</v>
      </c>
      <c r="D18" s="309">
        <v>1017631</v>
      </c>
      <c r="E18" s="279">
        <f>D18/'- 3 -'!D18</f>
        <v>0.014069259552185243</v>
      </c>
      <c r="F18"/>
    </row>
    <row r="19" spans="1:6" ht="13.5" customHeight="1">
      <c r="A19" s="387" t="s">
        <v>334</v>
      </c>
      <c r="B19" s="308">
        <v>31322</v>
      </c>
      <c r="C19" s="278">
        <f>B19/'- 3 -'!D19</f>
        <v>0.0017715434089784594</v>
      </c>
      <c r="D19" s="308">
        <v>296550</v>
      </c>
      <c r="E19" s="278">
        <f>D19/'- 3 -'!D19</f>
        <v>0.016772594276628635</v>
      </c>
      <c r="F19"/>
    </row>
    <row r="20" spans="1:6" ht="13.5" customHeight="1">
      <c r="A20" s="388" t="s">
        <v>335</v>
      </c>
      <c r="B20" s="309">
        <v>70963</v>
      </c>
      <c r="C20" s="279">
        <f>B20/'- 3 -'!D20</f>
        <v>0.0021222528663856653</v>
      </c>
      <c r="D20" s="309">
        <v>552198</v>
      </c>
      <c r="E20" s="279">
        <f>D20/'- 3 -'!D20</f>
        <v>0.016514293199448048</v>
      </c>
      <c r="F20"/>
    </row>
    <row r="21" spans="1:6" ht="13.5" customHeight="1">
      <c r="A21" s="387" t="s">
        <v>336</v>
      </c>
      <c r="B21" s="308">
        <v>52668</v>
      </c>
      <c r="C21" s="278">
        <f>B21/'- 3 -'!D21</f>
        <v>0.002263988018247052</v>
      </c>
      <c r="D21" s="308">
        <v>377583</v>
      </c>
      <c r="E21" s="278">
        <f>D21/'- 3 -'!D21</f>
        <v>0.016230792661460026</v>
      </c>
      <c r="F21"/>
    </row>
    <row r="22" spans="1:6" ht="13.5" customHeight="1">
      <c r="A22" s="388" t="s">
        <v>337</v>
      </c>
      <c r="B22" s="309">
        <v>17693</v>
      </c>
      <c r="C22" s="279">
        <f>B22/'- 3 -'!D22</f>
        <v>0.0013819822106794506</v>
      </c>
      <c r="D22" s="309">
        <v>213890</v>
      </c>
      <c r="E22" s="279">
        <f>D22/'- 3 -'!D22</f>
        <v>0.016706730065123365</v>
      </c>
      <c r="F22"/>
    </row>
    <row r="23" spans="1:6" ht="13.5" customHeight="1">
      <c r="A23" s="387" t="s">
        <v>338</v>
      </c>
      <c r="B23" s="308">
        <v>22528</v>
      </c>
      <c r="C23" s="278">
        <f>B23/'- 3 -'!D23</f>
        <v>0.0021044743340167334</v>
      </c>
      <c r="D23" s="308">
        <v>169735</v>
      </c>
      <c r="E23" s="278">
        <f>D23/'- 3 -'!D23</f>
        <v>0.01585595485992233</v>
      </c>
      <c r="F23"/>
    </row>
    <row r="24" spans="1:6" ht="13.5" customHeight="1">
      <c r="A24" s="388" t="s">
        <v>339</v>
      </c>
      <c r="B24" s="309">
        <v>88309</v>
      </c>
      <c r="C24" s="279">
        <f>B24/'- 3 -'!D24</f>
        <v>0.0026485250167916697</v>
      </c>
      <c r="D24" s="309">
        <v>557782</v>
      </c>
      <c r="E24" s="279">
        <f>D24/'- 3 -'!D24</f>
        <v>0.016728754497458823</v>
      </c>
      <c r="F24"/>
    </row>
    <row r="25" spans="1:6" ht="13.5" customHeight="1">
      <c r="A25" s="387" t="s">
        <v>340</v>
      </c>
      <c r="B25" s="308">
        <v>170704</v>
      </c>
      <c r="C25" s="278">
        <f>B25/'- 3 -'!D25</f>
        <v>0.0016496843518445904</v>
      </c>
      <c r="D25" s="308">
        <v>1654166</v>
      </c>
      <c r="E25" s="278">
        <f>D25/'- 3 -'!D25</f>
        <v>0.01598586890496625</v>
      </c>
      <c r="F25"/>
    </row>
    <row r="26" spans="1:6" ht="13.5" customHeight="1">
      <c r="A26" s="388" t="s">
        <v>341</v>
      </c>
      <c r="B26" s="309">
        <v>64035.76</v>
      </c>
      <c r="C26" s="279">
        <f>B26/'- 3 -'!D26</f>
        <v>0.002480433822823621</v>
      </c>
      <c r="D26" s="309">
        <v>371359.81</v>
      </c>
      <c r="E26" s="279">
        <f>D26/'- 3 -'!D26</f>
        <v>0.01438467245741057</v>
      </c>
      <c r="F26"/>
    </row>
    <row r="27" spans="1:6" ht="13.5" customHeight="1">
      <c r="A27" s="387" t="s">
        <v>342</v>
      </c>
      <c r="B27" s="308">
        <v>85514</v>
      </c>
      <c r="C27" s="278">
        <f>B27/'- 3 -'!D27</f>
        <v>0.0033286445405523485</v>
      </c>
      <c r="D27" s="308">
        <v>418629</v>
      </c>
      <c r="E27" s="278">
        <f>D27/'- 3 -'!D27</f>
        <v>0.016295193013622204</v>
      </c>
      <c r="F27"/>
    </row>
    <row r="28" spans="1:6" ht="13.5" customHeight="1">
      <c r="A28" s="388" t="s">
        <v>343</v>
      </c>
      <c r="B28" s="309">
        <v>43635.99</v>
      </c>
      <c r="C28" s="279">
        <f>B28/'- 3 -'!D28</f>
        <v>0.002711503332819024</v>
      </c>
      <c r="D28" s="309">
        <v>235342.56</v>
      </c>
      <c r="E28" s="279">
        <f>D28/'- 3 -'!D28</f>
        <v>0.014623986663168664</v>
      </c>
      <c r="F28"/>
    </row>
    <row r="29" spans="1:6" ht="13.5" customHeight="1">
      <c r="A29" s="387" t="s">
        <v>344</v>
      </c>
      <c r="B29" s="308">
        <v>156993</v>
      </c>
      <c r="C29" s="278">
        <f>B29/'- 3 -'!D29</f>
        <v>0.0016086045697329358</v>
      </c>
      <c r="D29" s="308">
        <v>1624470</v>
      </c>
      <c r="E29" s="278">
        <f>D29/'- 3 -'!D29</f>
        <v>0.016644881398495872</v>
      </c>
      <c r="F29"/>
    </row>
    <row r="30" spans="1:6" ht="13.5" customHeight="1">
      <c r="A30" s="388" t="s">
        <v>345</v>
      </c>
      <c r="B30" s="309">
        <v>3486</v>
      </c>
      <c r="C30" s="279">
        <f>B30/'- 3 -'!D30</f>
        <v>0.0003618078686049992</v>
      </c>
      <c r="D30" s="309">
        <v>153000</v>
      </c>
      <c r="E30" s="279">
        <f>D30/'- 3 -'!D30</f>
        <v>0.015879691307104097</v>
      </c>
      <c r="F30"/>
    </row>
    <row r="31" spans="1:6" ht="13.5" customHeight="1">
      <c r="A31" s="387" t="s">
        <v>346</v>
      </c>
      <c r="B31" s="308">
        <v>14623</v>
      </c>
      <c r="C31" s="278">
        <f>B31/'- 3 -'!D31</f>
        <v>0.0005994227210356424</v>
      </c>
      <c r="D31" s="308">
        <v>422208</v>
      </c>
      <c r="E31" s="278">
        <f>D31/'- 3 -'!D31</f>
        <v>0.017307055200917493</v>
      </c>
      <c r="F31"/>
    </row>
    <row r="32" spans="1:6" ht="13.5" customHeight="1">
      <c r="A32" s="388" t="s">
        <v>347</v>
      </c>
      <c r="B32" s="309">
        <v>37827</v>
      </c>
      <c r="C32" s="279">
        <f>B32/'- 3 -'!D32</f>
        <v>0.0020809302358332587</v>
      </c>
      <c r="D32" s="309">
        <v>273056</v>
      </c>
      <c r="E32" s="279">
        <f>D32/'- 3 -'!D32</f>
        <v>0.015021293956054838</v>
      </c>
      <c r="F32"/>
    </row>
    <row r="33" spans="1:6" ht="13.5" customHeight="1">
      <c r="A33" s="387" t="s">
        <v>348</v>
      </c>
      <c r="B33" s="308">
        <v>23555</v>
      </c>
      <c r="C33" s="278">
        <f>B33/'- 3 -'!D33</f>
        <v>0.0010866409683343457</v>
      </c>
      <c r="D33" s="308">
        <v>330135</v>
      </c>
      <c r="E33" s="278">
        <f>D33/'- 3 -'!D33</f>
        <v>0.015229811763152589</v>
      </c>
      <c r="F33"/>
    </row>
    <row r="34" spans="1:6" ht="13.5" customHeight="1">
      <c r="A34" s="388" t="s">
        <v>349</v>
      </c>
      <c r="B34" s="309">
        <v>52365</v>
      </c>
      <c r="C34" s="279">
        <f>B34/'- 3 -'!D34</f>
        <v>0.0031867194461164304</v>
      </c>
      <c r="D34" s="309">
        <v>293938</v>
      </c>
      <c r="E34" s="279">
        <f>D34/'- 3 -'!D34</f>
        <v>0.017887862896067436</v>
      </c>
      <c r="F34"/>
    </row>
    <row r="35" spans="1:6" ht="13.5" customHeight="1">
      <c r="A35" s="387" t="s">
        <v>350</v>
      </c>
      <c r="B35" s="308">
        <v>52700</v>
      </c>
      <c r="C35" s="278">
        <f>B35/'- 3 -'!D35</f>
        <v>0.0004306464240620445</v>
      </c>
      <c r="D35" s="308">
        <v>2034612</v>
      </c>
      <c r="E35" s="278">
        <f>D35/'- 3 -'!D35</f>
        <v>0.016626155259083956</v>
      </c>
      <c r="F35"/>
    </row>
    <row r="36" spans="1:6" ht="13.5" customHeight="1">
      <c r="A36" s="388" t="s">
        <v>351</v>
      </c>
      <c r="B36" s="309">
        <v>33535</v>
      </c>
      <c r="C36" s="279">
        <f>B36/'- 3 -'!D36</f>
        <v>0.002106240306097294</v>
      </c>
      <c r="D36" s="309">
        <v>272901</v>
      </c>
      <c r="E36" s="279">
        <f>D36/'- 3 -'!D36</f>
        <v>0.017140154637669828</v>
      </c>
      <c r="F36"/>
    </row>
    <row r="37" spans="1:6" ht="13.5" customHeight="1">
      <c r="A37" s="387" t="s">
        <v>352</v>
      </c>
      <c r="B37" s="308">
        <v>5804</v>
      </c>
      <c r="C37" s="278">
        <f>B37/'- 3 -'!D37</f>
        <v>0.00024813886233804013</v>
      </c>
      <c r="D37" s="308">
        <v>404364</v>
      </c>
      <c r="E37" s="278">
        <f>D37/'- 3 -'!D37</f>
        <v>0.017287805466998492</v>
      </c>
      <c r="F37"/>
    </row>
    <row r="38" spans="1:6" ht="13.5" customHeight="1">
      <c r="A38" s="388" t="s">
        <v>353</v>
      </c>
      <c r="B38" s="309">
        <v>90348</v>
      </c>
      <c r="C38" s="279">
        <f>B38/'- 3 -'!D38</f>
        <v>0.0014681047379478404</v>
      </c>
      <c r="D38" s="309">
        <v>1058204</v>
      </c>
      <c r="E38" s="279">
        <f>D38/'- 3 -'!D38</f>
        <v>0.017195226304017316</v>
      </c>
      <c r="F38"/>
    </row>
    <row r="39" spans="1:6" ht="13.5" customHeight="1">
      <c r="A39" s="387" t="s">
        <v>354</v>
      </c>
      <c r="B39" s="308">
        <v>40761</v>
      </c>
      <c r="C39" s="278">
        <f>B39/'- 3 -'!D39</f>
        <v>0.0027763884880360654</v>
      </c>
      <c r="D39" s="308">
        <v>237577</v>
      </c>
      <c r="E39" s="278">
        <f>D39/'- 3 -'!D39</f>
        <v>0.016182283256596854</v>
      </c>
      <c r="F39"/>
    </row>
    <row r="40" spans="1:6" ht="13.5" customHeight="1">
      <c r="A40" s="388" t="s">
        <v>355</v>
      </c>
      <c r="B40" s="309">
        <v>83492</v>
      </c>
      <c r="C40" s="279">
        <f>B40/'- 3 -'!D40</f>
        <v>0.001345101310413704</v>
      </c>
      <c r="D40" s="309">
        <v>960619</v>
      </c>
      <c r="E40" s="279">
        <f>D40/'- 3 -'!D40</f>
        <v>0.015476092029275882</v>
      </c>
      <c r="F40"/>
    </row>
    <row r="41" spans="1:6" ht="13.5" customHeight="1">
      <c r="A41" s="387" t="s">
        <v>356</v>
      </c>
      <c r="B41" s="308">
        <v>71005</v>
      </c>
      <c r="C41" s="278">
        <f>B41/'- 3 -'!D41</f>
        <v>0.0018905202278741838</v>
      </c>
      <c r="D41" s="308">
        <v>584113</v>
      </c>
      <c r="E41" s="278">
        <f>D41/'- 3 -'!D41</f>
        <v>0.015552108187652604</v>
      </c>
      <c r="F41"/>
    </row>
    <row r="42" spans="1:6" ht="13.5" customHeight="1">
      <c r="A42" s="388" t="s">
        <v>357</v>
      </c>
      <c r="B42" s="309">
        <v>1969</v>
      </c>
      <c r="C42" s="279">
        <f>B42/'- 3 -'!D42</f>
        <v>0.00013541908527399635</v>
      </c>
      <c r="D42" s="309">
        <v>226813</v>
      </c>
      <c r="E42" s="279">
        <f>D42/'- 3 -'!D42</f>
        <v>0.01559919196965512</v>
      </c>
      <c r="F42"/>
    </row>
    <row r="43" spans="1:6" ht="13.5" customHeight="1">
      <c r="A43" s="387" t="s">
        <v>358</v>
      </c>
      <c r="B43" s="308">
        <v>16405</v>
      </c>
      <c r="C43" s="278">
        <f>B43/'- 3 -'!D43</f>
        <v>0.0017998692420504313</v>
      </c>
      <c r="D43" s="308">
        <v>147454</v>
      </c>
      <c r="E43" s="278">
        <f>D43/'- 3 -'!D43</f>
        <v>0.016177867675544303</v>
      </c>
      <c r="F43"/>
    </row>
    <row r="44" spans="1:6" ht="13.5" customHeight="1">
      <c r="A44" s="388" t="s">
        <v>359</v>
      </c>
      <c r="B44" s="309">
        <v>4916</v>
      </c>
      <c r="C44" s="279">
        <f>B44/'- 3 -'!D44</f>
        <v>0.0007510748704890098</v>
      </c>
      <c r="D44" s="309">
        <v>100815</v>
      </c>
      <c r="E44" s="279">
        <f>D44/'- 3 -'!D44</f>
        <v>0.015402687768175247</v>
      </c>
      <c r="F44"/>
    </row>
    <row r="45" spans="1:6" ht="13.5" customHeight="1">
      <c r="A45" s="387" t="s">
        <v>360</v>
      </c>
      <c r="B45" s="308">
        <v>20561</v>
      </c>
      <c r="C45" s="278">
        <f>B45/'- 3 -'!D45</f>
        <v>0.00207922093681741</v>
      </c>
      <c r="D45" s="308">
        <v>157971</v>
      </c>
      <c r="E45" s="278">
        <f>D45/'- 3 -'!D45</f>
        <v>0.015974739098778418</v>
      </c>
      <c r="F45"/>
    </row>
    <row r="46" spans="1:6" ht="13.5" customHeight="1">
      <c r="A46" s="388" t="s">
        <v>361</v>
      </c>
      <c r="B46" s="309">
        <v>128460</v>
      </c>
      <c r="C46" s="279">
        <f>B46/'- 3 -'!D46</f>
        <v>0.0005126741502725278</v>
      </c>
      <c r="D46" s="309">
        <v>4299684</v>
      </c>
      <c r="E46" s="279">
        <f>D46/'- 3 -'!D46</f>
        <v>0.017159713849761664</v>
      </c>
      <c r="F46"/>
    </row>
    <row r="47" spans="1:6" ht="13.5" customHeight="1">
      <c r="A47" s="387" t="s">
        <v>365</v>
      </c>
      <c r="B47" s="308">
        <v>14891</v>
      </c>
      <c r="C47" s="278">
        <f>B47/'- 3 -'!D47</f>
        <v>0.0026771583611713335</v>
      </c>
      <c r="D47" s="308">
        <v>121818</v>
      </c>
      <c r="E47" s="278">
        <f>D47/'- 3 -'!D47</f>
        <v>0.021900884913113258</v>
      </c>
      <c r="F47"/>
    </row>
    <row r="48" spans="1:6" ht="4.5" customHeight="1">
      <c r="A48" s="389"/>
      <c r="B48" s="310"/>
      <c r="C48" s="162"/>
      <c r="D48" s="310"/>
      <c r="E48" s="162"/>
      <c r="F48"/>
    </row>
    <row r="49" spans="1:6" ht="13.5" customHeight="1">
      <c r="A49" s="383" t="s">
        <v>362</v>
      </c>
      <c r="B49" s="311">
        <f>SUM(B11:B47)</f>
        <v>1981920.75</v>
      </c>
      <c r="C49" s="81">
        <f>B49/'- 3 -'!D49</f>
        <v>0.0014708156682566983</v>
      </c>
      <c r="D49" s="311">
        <f>SUM(D11:D47)</f>
        <v>21981433.369999997</v>
      </c>
      <c r="E49" s="81">
        <f>D49/'- 3 -'!D49</f>
        <v>0.016312779717017764</v>
      </c>
      <c r="F49"/>
    </row>
    <row r="50" spans="1:6" ht="4.5" customHeight="1">
      <c r="A50" s="389" t="s">
        <v>15</v>
      </c>
      <c r="B50" s="310"/>
      <c r="C50" s="162"/>
      <c r="D50" s="310"/>
      <c r="E50" s="162"/>
      <c r="F50"/>
    </row>
    <row r="51" spans="1:6" ht="13.5" customHeight="1">
      <c r="A51" s="388" t="s">
        <v>363</v>
      </c>
      <c r="B51" s="309">
        <v>0</v>
      </c>
      <c r="C51" s="279">
        <f>B51/'- 3 -'!D51</f>
        <v>0</v>
      </c>
      <c r="D51" s="309">
        <v>0</v>
      </c>
      <c r="E51" s="279">
        <f>D51/'- 3 -'!D51</f>
        <v>0</v>
      </c>
      <c r="F51"/>
    </row>
    <row r="52" spans="1:6" ht="13.5" customHeight="1">
      <c r="A52" s="387" t="s">
        <v>364</v>
      </c>
      <c r="B52" s="308">
        <v>40</v>
      </c>
      <c r="C52" s="278">
        <f>B52/'- 3 -'!D52</f>
        <v>1.6774590186277632E-05</v>
      </c>
      <c r="D52" s="308">
        <v>29145</v>
      </c>
      <c r="E52" s="278">
        <f>D52/'- 3 -'!D52</f>
        <v>0.012222385774476539</v>
      </c>
      <c r="F52"/>
    </row>
    <row r="53" ht="49.5" customHeight="1">
      <c r="F53"/>
    </row>
    <row r="54" spans="1:6" ht="12" customHeight="1">
      <c r="A54" s="3"/>
      <c r="C54" s="105"/>
      <c r="D54" s="9"/>
      <c r="E54" s="9"/>
      <c r="F54"/>
    </row>
    <row r="55" spans="1:6" ht="12" customHeight="1">
      <c r="A55" s="3"/>
      <c r="B55" s="9"/>
      <c r="C55" s="105"/>
      <c r="D55" s="9"/>
      <c r="E55" s="9"/>
      <c r="F55"/>
    </row>
    <row r="56" spans="1:6" ht="12" customHeight="1">
      <c r="A56" s="3"/>
      <c r="B56" s="9"/>
      <c r="C56" s="9"/>
      <c r="D56" s="9"/>
      <c r="E56" s="9"/>
      <c r="F56"/>
    </row>
    <row r="57" spans="1:6" ht="12" customHeight="1">
      <c r="A57" s="3"/>
      <c r="B57" s="9"/>
      <c r="C57" s="9"/>
      <c r="D57" s="9"/>
      <c r="E57" s="9"/>
      <c r="F57"/>
    </row>
    <row r="58" spans="1:6" ht="12" customHeight="1">
      <c r="A58" s="3"/>
      <c r="B58" s="9"/>
      <c r="C58" s="9"/>
      <c r="D58" s="9"/>
      <c r="E58" s="9"/>
      <c r="F58"/>
    </row>
    <row r="59" spans="2:6" ht="12" customHeight="1">
      <c r="B59" s="9"/>
      <c r="C59" s="9"/>
      <c r="D59" s="9"/>
      <c r="E59" s="9"/>
      <c r="F59"/>
    </row>
    <row r="60" ht="12" customHeight="1">
      <c r="F60"/>
    </row>
    <row r="61" ht="12" customHeight="1">
      <c r="F61"/>
    </row>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8"/>
  <sheetViews>
    <sheetView showGridLines="0" showZeros="0" workbookViewId="0" topLeftCell="A1">
      <selection activeCell="A1" sqref="A1"/>
    </sheetView>
  </sheetViews>
  <sheetFormatPr defaultColWidth="15.83203125" defaultRowHeight="12"/>
  <cols>
    <col min="1" max="1" width="31.83203125" style="67" customWidth="1"/>
    <col min="2" max="2" width="16.83203125" style="67" customWidth="1"/>
    <col min="3" max="3" width="19.83203125" style="67" customWidth="1"/>
    <col min="4" max="4" width="10.83203125" style="67" customWidth="1"/>
    <col min="5" max="5" width="16.83203125" style="67" customWidth="1"/>
    <col min="6" max="6" width="11.83203125" style="67" customWidth="1"/>
    <col min="7" max="7" width="14.83203125" style="67" customWidth="1"/>
    <col min="8" max="8" width="11.83203125" style="67" customWidth="1"/>
    <col min="9" max="16384" width="15.83203125" style="67" customWidth="1"/>
  </cols>
  <sheetData>
    <row r="1" spans="1:8" ht="6.75" customHeight="1">
      <c r="A1" s="65"/>
      <c r="B1" s="116"/>
      <c r="C1" s="116"/>
      <c r="D1" s="116"/>
      <c r="E1" s="116"/>
      <c r="F1" s="116"/>
      <c r="G1" s="116"/>
      <c r="H1" s="116"/>
    </row>
    <row r="2" spans="1:8" ht="15.75" customHeight="1">
      <c r="A2" s="333"/>
      <c r="B2" s="360" t="s">
        <v>21</v>
      </c>
      <c r="C2" s="164"/>
      <c r="D2" s="164"/>
      <c r="E2" s="164"/>
      <c r="F2" s="178"/>
      <c r="G2" s="178"/>
      <c r="H2" s="178"/>
    </row>
    <row r="3" spans="1:8" ht="15.75" customHeight="1">
      <c r="A3" s="334"/>
      <c r="B3" s="456" t="str">
        <f>OPYEAR</f>
        <v>OPERATING FUND 2002/2003 ACTUAL</v>
      </c>
      <c r="C3" s="167"/>
      <c r="D3" s="167"/>
      <c r="E3" s="167"/>
      <c r="F3" s="179"/>
      <c r="G3" s="179"/>
      <c r="H3" s="179"/>
    </row>
    <row r="4" spans="2:8" ht="15.75" customHeight="1">
      <c r="B4" s="116"/>
      <c r="C4" s="116"/>
      <c r="D4" s="116"/>
      <c r="E4" s="116"/>
      <c r="F4" s="116"/>
      <c r="G4" s="116"/>
      <c r="H4" s="116"/>
    </row>
    <row r="5" spans="2:8" ht="15.75" customHeight="1">
      <c r="B5" s="43"/>
      <c r="C5" s="116"/>
      <c r="D5" s="116"/>
      <c r="E5" s="116"/>
      <c r="F5" s="116"/>
      <c r="G5" s="116"/>
      <c r="H5" s="116"/>
    </row>
    <row r="6" spans="2:8" ht="15.75" customHeight="1">
      <c r="B6" s="53" t="s">
        <v>45</v>
      </c>
      <c r="C6" s="51"/>
      <c r="D6" s="106"/>
      <c r="E6" s="106"/>
      <c r="F6" s="106"/>
      <c r="G6" s="106"/>
      <c r="H6" s="170"/>
    </row>
    <row r="7" spans="2:8" ht="15.75" customHeight="1">
      <c r="B7" s="54" t="s">
        <v>82</v>
      </c>
      <c r="C7" s="55"/>
      <c r="D7" s="180"/>
      <c r="E7" s="180"/>
      <c r="F7" s="180"/>
      <c r="G7" s="180"/>
      <c r="H7" s="175"/>
    </row>
    <row r="8" spans="1:8" ht="15.75" customHeight="1">
      <c r="A8" s="313"/>
      <c r="B8" s="253"/>
      <c r="C8" s="172" t="s">
        <v>247</v>
      </c>
      <c r="D8" s="171" t="s">
        <v>87</v>
      </c>
      <c r="E8" s="176" t="s">
        <v>104</v>
      </c>
      <c r="F8" s="176" t="s">
        <v>105</v>
      </c>
      <c r="G8" s="176" t="s">
        <v>106</v>
      </c>
      <c r="H8" s="176" t="s">
        <v>105</v>
      </c>
    </row>
    <row r="9" spans="1:8" ht="15.75" customHeight="1">
      <c r="A9" s="314" t="s">
        <v>112</v>
      </c>
      <c r="B9" s="61" t="s">
        <v>113</v>
      </c>
      <c r="C9" s="61" t="s">
        <v>119</v>
      </c>
      <c r="D9" s="61" t="s">
        <v>115</v>
      </c>
      <c r="E9" s="61" t="s">
        <v>120</v>
      </c>
      <c r="F9" s="61" t="s">
        <v>121</v>
      </c>
      <c r="G9" s="61" t="s">
        <v>122</v>
      </c>
      <c r="H9" s="61" t="s">
        <v>121</v>
      </c>
    </row>
    <row r="10" ht="4.5" customHeight="1">
      <c r="A10" s="62"/>
    </row>
    <row r="11" spans="1:8" ht="13.5" customHeight="1">
      <c r="A11" s="387" t="s">
        <v>327</v>
      </c>
      <c r="B11" s="308">
        <f>'- 30 -'!D11</f>
        <v>682751.04</v>
      </c>
      <c r="C11" s="308">
        <v>871</v>
      </c>
      <c r="D11" s="308">
        <f ca="1">IF(AND(CELL("type",C11)="v",C11&gt;0),B11/C11,"")</f>
        <v>783.870309988519</v>
      </c>
      <c r="E11" s="308">
        <v>726026</v>
      </c>
      <c r="F11" s="281">
        <f ca="1">IF(AND(CELL("type",E11)="v",E11&gt;0),B11/E11,"")</f>
        <v>0.9403947517031072</v>
      </c>
      <c r="G11" s="308">
        <v>488695</v>
      </c>
      <c r="H11" s="281">
        <f ca="1">IF(AND(CELL("type",G11)="v",G11&gt;0),B11/G11,"")</f>
        <v>1.3970902914906027</v>
      </c>
    </row>
    <row r="12" spans="1:8" ht="13.5" customHeight="1">
      <c r="A12" s="388" t="s">
        <v>328</v>
      </c>
      <c r="B12" s="309">
        <f>'- 30 -'!D12</f>
        <v>1382531</v>
      </c>
      <c r="C12" s="309">
        <v>1491</v>
      </c>
      <c r="D12" s="309">
        <f aca="true" ca="1" t="shared" si="0" ref="D12:D47">IF(AND(CELL("type",C12)="v",C12&gt;0),B12/C12,"")</f>
        <v>927.2508383635144</v>
      </c>
      <c r="E12" s="309">
        <v>1254736</v>
      </c>
      <c r="F12" s="282">
        <f aca="true" ca="1" t="shared" si="1" ref="F12:F47">IF(AND(CELL("type",E12)="v",E12&gt;0),B12/E12,"")</f>
        <v>1.1018501103020875</v>
      </c>
      <c r="G12" s="309">
        <v>887904</v>
      </c>
      <c r="H12" s="282">
        <f aca="true" ca="1" t="shared" si="2" ref="H12:H47">IF(AND(CELL("type",G12)="v",G12&gt;0),B12/G12,"")</f>
        <v>1.5570726114534905</v>
      </c>
    </row>
    <row r="13" spans="1:8" ht="13.5" customHeight="1">
      <c r="A13" s="387" t="s">
        <v>329</v>
      </c>
      <c r="B13" s="308">
        <f>'- 30 -'!D13</f>
        <v>1101754</v>
      </c>
      <c r="C13" s="308">
        <v>1680</v>
      </c>
      <c r="D13" s="308">
        <f ca="1" t="shared" si="0"/>
        <v>655.8059523809524</v>
      </c>
      <c r="E13" s="308">
        <v>779153</v>
      </c>
      <c r="F13" s="281">
        <f ca="1" t="shared" si="1"/>
        <v>1.4140406313009126</v>
      </c>
      <c r="G13" s="308">
        <v>459984</v>
      </c>
      <c r="H13" s="281">
        <f ca="1" t="shared" si="2"/>
        <v>2.3952007026331352</v>
      </c>
    </row>
    <row r="14" spans="1:8" ht="13.5" customHeight="1">
      <c r="A14" s="388" t="s">
        <v>366</v>
      </c>
      <c r="B14" s="309">
        <f>'- 30 -'!D14</f>
        <v>2834117</v>
      </c>
      <c r="C14" s="309">
        <v>2985</v>
      </c>
      <c r="D14" s="309">
        <f ca="1" t="shared" si="0"/>
        <v>949.4529313232831</v>
      </c>
      <c r="E14" s="309">
        <v>1977814</v>
      </c>
      <c r="F14" s="282">
        <f ca="1" t="shared" si="1"/>
        <v>1.4329542616241973</v>
      </c>
      <c r="G14" s="309">
        <v>1212844</v>
      </c>
      <c r="H14" s="282">
        <f ca="1" t="shared" si="2"/>
        <v>2.336753119115072</v>
      </c>
    </row>
    <row r="15" spans="1:8" ht="13.5" customHeight="1">
      <c r="A15" s="387" t="s">
        <v>330</v>
      </c>
      <c r="B15" s="308">
        <f>'- 30 -'!D15</f>
        <v>798257</v>
      </c>
      <c r="C15" s="308">
        <v>1140</v>
      </c>
      <c r="D15" s="308">
        <f ca="1" t="shared" si="0"/>
        <v>700.2254385964912</v>
      </c>
      <c r="E15" s="308">
        <v>687800</v>
      </c>
      <c r="F15" s="281">
        <f ca="1" t="shared" si="1"/>
        <v>1.160594649607444</v>
      </c>
      <c r="G15" s="308">
        <v>497800</v>
      </c>
      <c r="H15" s="281">
        <f ca="1" t="shared" si="2"/>
        <v>1.6035697067095218</v>
      </c>
    </row>
    <row r="16" spans="1:8" ht="13.5" customHeight="1">
      <c r="A16" s="388" t="s">
        <v>331</v>
      </c>
      <c r="B16" s="309">
        <f>'- 30 -'!D16</f>
        <v>147595</v>
      </c>
      <c r="C16" s="309">
        <v>58</v>
      </c>
      <c r="D16" s="309">
        <f ca="1" t="shared" si="0"/>
        <v>2544.7413793103447</v>
      </c>
      <c r="E16" s="309">
        <v>17328</v>
      </c>
      <c r="F16" s="282">
        <f ca="1" t="shared" si="1"/>
        <v>8.517716989843029</v>
      </c>
      <c r="G16" s="309">
        <v>9196</v>
      </c>
      <c r="H16" s="282">
        <f ca="1" t="shared" si="2"/>
        <v>16.049913005654634</v>
      </c>
    </row>
    <row r="17" spans="1:8" ht="13.5" customHeight="1">
      <c r="A17" s="387" t="s">
        <v>332</v>
      </c>
      <c r="B17" s="308">
        <f>'- 30 -'!D17</f>
        <v>987322</v>
      </c>
      <c r="C17" s="308">
        <v>785</v>
      </c>
      <c r="D17" s="308">
        <f ca="1" t="shared" si="0"/>
        <v>1257.7350318471338</v>
      </c>
      <c r="E17" s="308">
        <v>1140456</v>
      </c>
      <c r="F17" s="281">
        <f ca="1" t="shared" si="1"/>
        <v>0.8657256395687339</v>
      </c>
      <c r="G17" s="308">
        <v>760513</v>
      </c>
      <c r="H17" s="281">
        <f ca="1" t="shared" si="2"/>
        <v>1.2982315884146622</v>
      </c>
    </row>
    <row r="18" spans="1:8" ht="13.5" customHeight="1">
      <c r="A18" s="388" t="s">
        <v>333</v>
      </c>
      <c r="B18" s="309">
        <f>'- 30 -'!D18</f>
        <v>3003087.94</v>
      </c>
      <c r="C18" s="309">
        <v>4831</v>
      </c>
      <c r="D18" s="309">
        <f ca="1" t="shared" si="0"/>
        <v>621.6286358931898</v>
      </c>
      <c r="E18" s="309">
        <v>1028893</v>
      </c>
      <c r="F18" s="282">
        <f ca="1" t="shared" si="1"/>
        <v>2.9187563138246637</v>
      </c>
      <c r="G18" s="309">
        <v>746715</v>
      </c>
      <c r="H18" s="282">
        <f ca="1" t="shared" si="2"/>
        <v>4.021732441426782</v>
      </c>
    </row>
    <row r="19" spans="1:8" ht="13.5" customHeight="1">
      <c r="A19" s="387" t="s">
        <v>334</v>
      </c>
      <c r="B19" s="308">
        <f>'- 30 -'!D19</f>
        <v>559807</v>
      </c>
      <c r="C19" s="308">
        <v>1642</v>
      </c>
      <c r="D19" s="308">
        <f ca="1" t="shared" si="0"/>
        <v>340.9299634591961</v>
      </c>
      <c r="E19" s="308">
        <v>417335</v>
      </c>
      <c r="F19" s="281">
        <f ca="1" t="shared" si="1"/>
        <v>1.3413852181101513</v>
      </c>
      <c r="G19" s="308">
        <v>285927</v>
      </c>
      <c r="H19" s="281">
        <f ca="1" t="shared" si="2"/>
        <v>1.957866868116687</v>
      </c>
    </row>
    <row r="20" spans="1:8" ht="13.5" customHeight="1">
      <c r="A20" s="388" t="s">
        <v>335</v>
      </c>
      <c r="B20" s="309">
        <f>'- 30 -'!D20</f>
        <v>1621178</v>
      </c>
      <c r="C20" s="309">
        <v>3949</v>
      </c>
      <c r="D20" s="309">
        <f ca="1" t="shared" si="0"/>
        <v>410.5287414535325</v>
      </c>
      <c r="E20" s="309">
        <v>1133540</v>
      </c>
      <c r="F20" s="282">
        <f ca="1" t="shared" si="1"/>
        <v>1.430190377048891</v>
      </c>
      <c r="G20" s="309">
        <v>732260</v>
      </c>
      <c r="H20" s="282">
        <f ca="1" t="shared" si="2"/>
        <v>2.2139376724114386</v>
      </c>
    </row>
    <row r="21" spans="1:8" ht="13.5" customHeight="1">
      <c r="A21" s="387" t="s">
        <v>336</v>
      </c>
      <c r="B21" s="308">
        <f>'- 30 -'!D21</f>
        <v>1452358</v>
      </c>
      <c r="C21" s="308">
        <v>1894</v>
      </c>
      <c r="D21" s="308">
        <f ca="1" t="shared" si="0"/>
        <v>766.8204857444562</v>
      </c>
      <c r="E21" s="308">
        <v>1099866.6</v>
      </c>
      <c r="F21" s="281">
        <f ca="1" t="shared" si="1"/>
        <v>1.3204855934346946</v>
      </c>
      <c r="G21" s="308">
        <v>676015.2</v>
      </c>
      <c r="H21" s="281">
        <f ca="1" t="shared" si="2"/>
        <v>2.1484102724317444</v>
      </c>
    </row>
    <row r="22" spans="1:8" ht="13.5" customHeight="1">
      <c r="A22" s="388" t="s">
        <v>337</v>
      </c>
      <c r="B22" s="309">
        <f>'- 30 -'!D22</f>
        <v>291494</v>
      </c>
      <c r="C22" s="309">
        <v>496</v>
      </c>
      <c r="D22" s="309">
        <f ca="1" t="shared" si="0"/>
        <v>587.6895161290323</v>
      </c>
      <c r="E22" s="309">
        <v>253156</v>
      </c>
      <c r="F22" s="282">
        <f ca="1" t="shared" si="1"/>
        <v>1.1514402186793913</v>
      </c>
      <c r="G22" s="309">
        <v>126578</v>
      </c>
      <c r="H22" s="282">
        <f ca="1" t="shared" si="2"/>
        <v>2.3028804373587826</v>
      </c>
    </row>
    <row r="23" spans="1:8" ht="13.5" customHeight="1">
      <c r="A23" s="387" t="s">
        <v>338</v>
      </c>
      <c r="B23" s="308">
        <f>'- 30 -'!D23</f>
        <v>1109889</v>
      </c>
      <c r="C23" s="308">
        <v>992</v>
      </c>
      <c r="D23" s="308">
        <f ca="1" t="shared" si="0"/>
        <v>1118.8397177419354</v>
      </c>
      <c r="E23" s="308">
        <v>1157651</v>
      </c>
      <c r="F23" s="281">
        <f ca="1" t="shared" si="1"/>
        <v>0.9587423152573616</v>
      </c>
      <c r="G23" s="308">
        <v>686812</v>
      </c>
      <c r="H23" s="281">
        <f ca="1" t="shared" si="2"/>
        <v>1.6160011764500328</v>
      </c>
    </row>
    <row r="24" spans="1:8" ht="13.5" customHeight="1">
      <c r="A24" s="388" t="s">
        <v>339</v>
      </c>
      <c r="B24" s="309">
        <f>'- 30 -'!D24</f>
        <v>1520282</v>
      </c>
      <c r="C24" s="309">
        <v>3006</v>
      </c>
      <c r="D24" s="309">
        <f ca="1" t="shared" si="0"/>
        <v>505.7491683300066</v>
      </c>
      <c r="E24" s="309">
        <v>1106936</v>
      </c>
      <c r="F24" s="282">
        <f ca="1" t="shared" si="1"/>
        <v>1.373414542484841</v>
      </c>
      <c r="G24" s="309">
        <v>715443</v>
      </c>
      <c r="H24" s="282">
        <f ca="1" t="shared" si="2"/>
        <v>2.124951952845999</v>
      </c>
    </row>
    <row r="25" spans="1:8" ht="13.5" customHeight="1">
      <c r="A25" s="387" t="s">
        <v>340</v>
      </c>
      <c r="B25" s="308">
        <f>'- 30 -'!D25</f>
        <v>1197879</v>
      </c>
      <c r="C25" s="308">
        <v>2000</v>
      </c>
      <c r="D25" s="308">
        <f ca="1" t="shared" si="0"/>
        <v>598.9395</v>
      </c>
      <c r="E25" s="308">
        <v>475430</v>
      </c>
      <c r="F25" s="281">
        <f ca="1" t="shared" si="1"/>
        <v>2.5195696527354183</v>
      </c>
      <c r="G25" s="308">
        <v>297064</v>
      </c>
      <c r="H25" s="281">
        <f ca="1" t="shared" si="2"/>
        <v>4.0323936929415884</v>
      </c>
    </row>
    <row r="26" spans="1:8" ht="13.5" customHeight="1">
      <c r="A26" s="388" t="s">
        <v>341</v>
      </c>
      <c r="B26" s="309">
        <f>'- 30 -'!D26</f>
        <v>1706126.21</v>
      </c>
      <c r="C26" s="309">
        <v>1634</v>
      </c>
      <c r="D26" s="309">
        <f ca="1" t="shared" si="0"/>
        <v>1044.1408873929008</v>
      </c>
      <c r="E26" s="309">
        <v>1335187</v>
      </c>
      <c r="F26" s="282">
        <f ca="1" t="shared" si="1"/>
        <v>1.2778181707880618</v>
      </c>
      <c r="G26" s="309">
        <v>1149310</v>
      </c>
      <c r="H26" s="282">
        <f ca="1" t="shared" si="2"/>
        <v>1.4844786959132001</v>
      </c>
    </row>
    <row r="27" spans="1:8" ht="13.5" customHeight="1">
      <c r="A27" s="387" t="s">
        <v>342</v>
      </c>
      <c r="B27" s="308">
        <f>'- 30 -'!D27</f>
        <v>1048</v>
      </c>
      <c r="C27" s="426" t="s">
        <v>240</v>
      </c>
      <c r="D27" s="308">
        <f ca="1">IF(AND(CELL("type",C27)="v",C27&gt;0),B27/C27,"")</f>
      </c>
      <c r="E27" s="426" t="s">
        <v>240</v>
      </c>
      <c r="F27" s="281">
        <f ca="1">IF(AND(CELL("type",E27)="v",E27&gt;0),B27/E27,"")</f>
      </c>
      <c r="G27" s="426" t="s">
        <v>240</v>
      </c>
      <c r="H27" s="281">
        <f ca="1" t="shared" si="2"/>
      </c>
    </row>
    <row r="28" spans="1:8" ht="13.5" customHeight="1">
      <c r="A28" s="388" t="s">
        <v>343</v>
      </c>
      <c r="B28" s="309">
        <f>'- 30 -'!D28</f>
        <v>1659367</v>
      </c>
      <c r="C28" s="309">
        <v>1222</v>
      </c>
      <c r="D28" s="309">
        <f ca="1" t="shared" si="0"/>
        <v>1357.9108019639934</v>
      </c>
      <c r="E28" s="309">
        <v>1539755</v>
      </c>
      <c r="F28" s="282">
        <f ca="1" t="shared" si="1"/>
        <v>1.0776824884478375</v>
      </c>
      <c r="G28" s="309">
        <v>1026380</v>
      </c>
      <c r="H28" s="282">
        <f ca="1" t="shared" si="2"/>
        <v>1.6167179796956292</v>
      </c>
    </row>
    <row r="29" spans="1:8" ht="13.5" customHeight="1">
      <c r="A29" s="387" t="s">
        <v>344</v>
      </c>
      <c r="B29" s="308">
        <f>'- 30 -'!D29</f>
        <v>1068928</v>
      </c>
      <c r="C29" s="308">
        <v>1492</v>
      </c>
      <c r="D29" s="308">
        <f ca="1" t="shared" si="0"/>
        <v>716.4396782841823</v>
      </c>
      <c r="E29" s="308">
        <v>377879</v>
      </c>
      <c r="F29" s="281">
        <f ca="1" t="shared" si="1"/>
        <v>2.8287573535443884</v>
      </c>
      <c r="G29" s="308">
        <v>240294</v>
      </c>
      <c r="H29" s="281">
        <f ca="1" t="shared" si="2"/>
        <v>4.448417355406294</v>
      </c>
    </row>
    <row r="30" spans="1:8" ht="13.5" customHeight="1">
      <c r="A30" s="388" t="s">
        <v>345</v>
      </c>
      <c r="B30" s="309">
        <f>'- 30 -'!D30</f>
        <v>837668</v>
      </c>
      <c r="C30" s="309">
        <v>840</v>
      </c>
      <c r="D30" s="309">
        <f ca="1" t="shared" si="0"/>
        <v>997.2238095238096</v>
      </c>
      <c r="E30" s="309">
        <v>968136</v>
      </c>
      <c r="F30" s="282">
        <f ca="1" t="shared" si="1"/>
        <v>0.8652379417767752</v>
      </c>
      <c r="G30" s="309">
        <v>595434</v>
      </c>
      <c r="H30" s="282">
        <f ca="1" t="shared" si="2"/>
        <v>1.406819227655794</v>
      </c>
    </row>
    <row r="31" spans="1:8" ht="13.5" customHeight="1">
      <c r="A31" s="387" t="s">
        <v>346</v>
      </c>
      <c r="B31" s="308">
        <f>'- 30 -'!D31</f>
        <v>686969</v>
      </c>
      <c r="C31" s="308">
        <v>991</v>
      </c>
      <c r="D31" s="308">
        <f ca="1" t="shared" si="0"/>
        <v>693.2078708375378</v>
      </c>
      <c r="E31" s="308">
        <v>704900</v>
      </c>
      <c r="F31" s="281">
        <f ca="1" t="shared" si="1"/>
        <v>0.9745623492693999</v>
      </c>
      <c r="G31" s="308">
        <v>425220</v>
      </c>
      <c r="H31" s="281">
        <f ca="1" t="shared" si="2"/>
        <v>1.6155613564742957</v>
      </c>
    </row>
    <row r="32" spans="1:8" ht="13.5" customHeight="1">
      <c r="A32" s="388" t="s">
        <v>347</v>
      </c>
      <c r="B32" s="309">
        <f>'- 30 -'!D32</f>
        <v>1397236</v>
      </c>
      <c r="C32" s="309">
        <v>1448</v>
      </c>
      <c r="D32" s="309">
        <f ca="1" t="shared" si="0"/>
        <v>964.9419889502763</v>
      </c>
      <c r="E32" s="309">
        <v>1180736</v>
      </c>
      <c r="F32" s="282">
        <f ca="1" t="shared" si="1"/>
        <v>1.1833602092254323</v>
      </c>
      <c r="G32" s="309">
        <v>785688</v>
      </c>
      <c r="H32" s="282">
        <f ca="1" t="shared" si="2"/>
        <v>1.778359857857063</v>
      </c>
    </row>
    <row r="33" spans="1:8" ht="13.5" customHeight="1">
      <c r="A33" s="387" t="s">
        <v>348</v>
      </c>
      <c r="B33" s="308">
        <f>'- 30 -'!D33</f>
        <v>1870537</v>
      </c>
      <c r="C33" s="308">
        <v>1475</v>
      </c>
      <c r="D33" s="308">
        <f ca="1" t="shared" si="0"/>
        <v>1268.1606779661017</v>
      </c>
      <c r="E33" s="308">
        <v>1782580</v>
      </c>
      <c r="F33" s="281">
        <f ca="1" t="shared" si="1"/>
        <v>1.049342526001638</v>
      </c>
      <c r="G33" s="308">
        <v>1174580</v>
      </c>
      <c r="H33" s="281">
        <f ca="1" t="shared" si="2"/>
        <v>1.592515622605527</v>
      </c>
    </row>
    <row r="34" spans="1:8" ht="13.5" customHeight="1">
      <c r="A34" s="388" t="s">
        <v>349</v>
      </c>
      <c r="B34" s="309">
        <f>'- 30 -'!D34</f>
        <v>1456140</v>
      </c>
      <c r="C34" s="309">
        <v>1572</v>
      </c>
      <c r="D34" s="309">
        <f ca="1" t="shared" si="0"/>
        <v>926.2977099236641</v>
      </c>
      <c r="E34" s="309">
        <v>1332137</v>
      </c>
      <c r="F34" s="282">
        <f ca="1" t="shared" si="1"/>
        <v>1.0930857712082165</v>
      </c>
      <c r="G34" s="309">
        <v>861330</v>
      </c>
      <c r="H34" s="282">
        <f ca="1" t="shared" si="2"/>
        <v>1.6905715579394658</v>
      </c>
    </row>
    <row r="35" spans="1:8" ht="13.5" customHeight="1">
      <c r="A35" s="387" t="s">
        <v>350</v>
      </c>
      <c r="B35" s="308">
        <f>'- 30 -'!D35</f>
        <v>1792943</v>
      </c>
      <c r="C35" s="308">
        <v>3119</v>
      </c>
      <c r="D35" s="308">
        <f ca="1" t="shared" si="0"/>
        <v>574.8454632895159</v>
      </c>
      <c r="E35" s="308">
        <v>925416</v>
      </c>
      <c r="F35" s="281">
        <f ca="1" t="shared" si="1"/>
        <v>1.9374454299471806</v>
      </c>
      <c r="G35" s="308">
        <v>533520</v>
      </c>
      <c r="H35" s="281">
        <f ca="1" t="shared" si="2"/>
        <v>3.36059191782876</v>
      </c>
    </row>
    <row r="36" spans="1:8" ht="13.5" customHeight="1">
      <c r="A36" s="388" t="s">
        <v>351</v>
      </c>
      <c r="B36" s="309">
        <f>'- 30 -'!D36</f>
        <v>1010278</v>
      </c>
      <c r="C36" s="309">
        <v>1297</v>
      </c>
      <c r="D36" s="309">
        <f ca="1" t="shared" si="0"/>
        <v>778.934464148034</v>
      </c>
      <c r="E36" s="309">
        <v>1079896</v>
      </c>
      <c r="F36" s="282">
        <f ca="1" t="shared" si="1"/>
        <v>0.9355326809248298</v>
      </c>
      <c r="G36" s="309">
        <v>706744</v>
      </c>
      <c r="H36" s="282">
        <f ca="1" t="shared" si="2"/>
        <v>1.4294822453391893</v>
      </c>
    </row>
    <row r="37" spans="1:8" ht="13.5" customHeight="1">
      <c r="A37" s="387" t="s">
        <v>352</v>
      </c>
      <c r="B37" s="308">
        <f>'- 30 -'!D37</f>
        <v>1434566</v>
      </c>
      <c r="C37" s="308">
        <v>2009</v>
      </c>
      <c r="D37" s="308">
        <f ca="1" t="shared" si="0"/>
        <v>714.0696864111499</v>
      </c>
      <c r="E37" s="308">
        <v>1057160</v>
      </c>
      <c r="F37" s="281">
        <f ca="1" t="shared" si="1"/>
        <v>1.3569998864883273</v>
      </c>
      <c r="G37" s="308">
        <v>702240</v>
      </c>
      <c r="H37" s="281">
        <f ca="1" t="shared" si="2"/>
        <v>2.0428429027113237</v>
      </c>
    </row>
    <row r="38" spans="1:8" ht="13.5" customHeight="1">
      <c r="A38" s="388" t="s">
        <v>353</v>
      </c>
      <c r="B38" s="309">
        <f>'- 30 -'!D38</f>
        <v>1611729</v>
      </c>
      <c r="C38" s="309">
        <v>3048</v>
      </c>
      <c r="D38" s="309">
        <f ca="1" t="shared" si="0"/>
        <v>528.7824803149606</v>
      </c>
      <c r="E38" s="309">
        <v>487518</v>
      </c>
      <c r="F38" s="282">
        <f ca="1" t="shared" si="1"/>
        <v>3.30598870195562</v>
      </c>
      <c r="G38" s="309">
        <v>363419</v>
      </c>
      <c r="H38" s="282">
        <f ca="1" t="shared" si="2"/>
        <v>4.434905714891076</v>
      </c>
    </row>
    <row r="39" spans="1:8" ht="13.5" customHeight="1">
      <c r="A39" s="387" t="s">
        <v>354</v>
      </c>
      <c r="B39" s="308">
        <f>'- 30 -'!D39</f>
        <v>1230346</v>
      </c>
      <c r="C39" s="308">
        <v>1031</v>
      </c>
      <c r="D39" s="308">
        <f ca="1" t="shared" si="0"/>
        <v>1193.3520853540251</v>
      </c>
      <c r="E39" s="308">
        <v>1337272</v>
      </c>
      <c r="F39" s="281">
        <f ca="1" t="shared" si="1"/>
        <v>0.9200416968275713</v>
      </c>
      <c r="G39" s="308">
        <v>872250</v>
      </c>
      <c r="H39" s="281">
        <f ca="1" t="shared" si="2"/>
        <v>1.410542848953855</v>
      </c>
    </row>
    <row r="40" spans="1:8" ht="13.5" customHeight="1">
      <c r="A40" s="388" t="s">
        <v>355</v>
      </c>
      <c r="B40" s="309">
        <f>'- 30 -'!D40</f>
        <v>895578</v>
      </c>
      <c r="C40" s="309">
        <v>2147</v>
      </c>
      <c r="D40" s="309">
        <f ca="1" t="shared" si="0"/>
        <v>417.12994876571963</v>
      </c>
      <c r="E40" s="309">
        <v>390758</v>
      </c>
      <c r="F40" s="282">
        <f ca="1" t="shared" si="1"/>
        <v>2.2918993341147207</v>
      </c>
      <c r="G40" s="309">
        <v>256435</v>
      </c>
      <c r="H40" s="282">
        <f ca="1" t="shared" si="2"/>
        <v>3.492417181741962</v>
      </c>
    </row>
    <row r="41" spans="1:8" ht="13.5" customHeight="1">
      <c r="A41" s="387" t="s">
        <v>356</v>
      </c>
      <c r="B41" s="308">
        <f>'- 30 -'!D41</f>
        <v>2680005</v>
      </c>
      <c r="C41" s="308">
        <v>3695</v>
      </c>
      <c r="D41" s="308">
        <f ca="1" t="shared" si="0"/>
        <v>725.3058186738837</v>
      </c>
      <c r="E41" s="308">
        <v>2317762</v>
      </c>
      <c r="F41" s="281">
        <f ca="1" t="shared" si="1"/>
        <v>1.1562899900852632</v>
      </c>
      <c r="G41" s="308">
        <v>1525340</v>
      </c>
      <c r="H41" s="281">
        <f ca="1" t="shared" si="2"/>
        <v>1.7569886058190305</v>
      </c>
    </row>
    <row r="42" spans="1:8" ht="13.5" customHeight="1">
      <c r="A42" s="388" t="s">
        <v>357</v>
      </c>
      <c r="B42" s="309">
        <f>'- 30 -'!D42</f>
        <v>1051748</v>
      </c>
      <c r="C42" s="309">
        <v>1545</v>
      </c>
      <c r="D42" s="309">
        <f ca="1" t="shared" si="0"/>
        <v>680.7430420711975</v>
      </c>
      <c r="E42" s="309">
        <v>875981</v>
      </c>
      <c r="F42" s="282">
        <f ca="1" t="shared" si="1"/>
        <v>1.2006516123066595</v>
      </c>
      <c r="G42" s="309">
        <v>706906</v>
      </c>
      <c r="H42" s="282">
        <f ca="1" t="shared" si="2"/>
        <v>1.4878187481786829</v>
      </c>
    </row>
    <row r="43" spans="1:8" ht="13.5" customHeight="1">
      <c r="A43" s="387" t="s">
        <v>358</v>
      </c>
      <c r="B43" s="308">
        <f>'- 30 -'!D43</f>
        <v>742926</v>
      </c>
      <c r="C43" s="308">
        <v>668</v>
      </c>
      <c r="D43" s="308">
        <f ca="1" t="shared" si="0"/>
        <v>1112.1646706586826</v>
      </c>
      <c r="E43" s="308">
        <v>801610</v>
      </c>
      <c r="F43" s="281">
        <f ca="1" t="shared" si="1"/>
        <v>0.9267923304349995</v>
      </c>
      <c r="G43" s="308">
        <v>506540</v>
      </c>
      <c r="H43" s="281">
        <f ca="1" t="shared" si="2"/>
        <v>1.46666798278517</v>
      </c>
    </row>
    <row r="44" spans="1:8" ht="13.5" customHeight="1">
      <c r="A44" s="388" t="s">
        <v>359</v>
      </c>
      <c r="B44" s="309">
        <f>'- 30 -'!D44</f>
        <v>733250</v>
      </c>
      <c r="C44" s="309">
        <v>568</v>
      </c>
      <c r="D44" s="309">
        <f ca="1" t="shared" si="0"/>
        <v>1290.9330985915492</v>
      </c>
      <c r="E44" s="309">
        <v>809586</v>
      </c>
      <c r="F44" s="282">
        <f ca="1" t="shared" si="1"/>
        <v>0.9057098319387934</v>
      </c>
      <c r="G44" s="309">
        <v>595845</v>
      </c>
      <c r="H44" s="282">
        <f ca="1" t="shared" si="2"/>
        <v>1.2306052748617509</v>
      </c>
    </row>
    <row r="45" spans="1:8" ht="13.5" customHeight="1">
      <c r="A45" s="387" t="s">
        <v>360</v>
      </c>
      <c r="B45" s="308">
        <f>'- 30 -'!D45</f>
        <v>321767</v>
      </c>
      <c r="C45" s="308">
        <v>713</v>
      </c>
      <c r="D45" s="308">
        <f ca="1" t="shared" si="0"/>
        <v>451.2861150070126</v>
      </c>
      <c r="E45" s="308">
        <v>266726</v>
      </c>
      <c r="F45" s="281">
        <f ca="1" t="shared" si="1"/>
        <v>1.2063578353816276</v>
      </c>
      <c r="G45" s="308">
        <v>158839</v>
      </c>
      <c r="H45" s="281">
        <f ca="1" t="shared" si="2"/>
        <v>2.025743047991992</v>
      </c>
    </row>
    <row r="46" spans="1:8" ht="13.5" customHeight="1">
      <c r="A46" s="388" t="s">
        <v>361</v>
      </c>
      <c r="B46" s="309">
        <f>'- 30 -'!D46</f>
        <v>2825643</v>
      </c>
      <c r="C46" s="309">
        <v>2008</v>
      </c>
      <c r="D46" s="309">
        <f ca="1" t="shared" si="0"/>
        <v>1407.1927290836654</v>
      </c>
      <c r="E46" s="309">
        <v>1067046</v>
      </c>
      <c r="F46" s="282">
        <f ca="1" t="shared" si="1"/>
        <v>2.648098582441619</v>
      </c>
      <c r="G46" s="309">
        <v>669349.5</v>
      </c>
      <c r="H46" s="282">
        <f ca="1" t="shared" si="2"/>
        <v>4.221476224304343</v>
      </c>
    </row>
    <row r="47" spans="1:8" ht="13.5" customHeight="1">
      <c r="A47" s="387" t="s">
        <v>365</v>
      </c>
      <c r="B47" s="308">
        <f>'- 30 -'!D47</f>
        <v>0</v>
      </c>
      <c r="C47" s="308">
        <v>0</v>
      </c>
      <c r="D47" s="308">
        <f ca="1" t="shared" si="0"/>
      </c>
      <c r="E47" s="308">
        <v>0</v>
      </c>
      <c r="F47" s="281">
        <f ca="1" t="shared" si="1"/>
      </c>
      <c r="G47" s="308">
        <v>0</v>
      </c>
      <c r="H47" s="281">
        <f ca="1" t="shared" si="2"/>
      </c>
    </row>
    <row r="48" spans="1:8" ht="4.5" customHeight="1">
      <c r="A48" s="389"/>
      <c r="B48" s="310"/>
      <c r="C48" s="310"/>
      <c r="D48" s="310"/>
      <c r="E48" s="310"/>
      <c r="F48" s="283"/>
      <c r="G48" s="310"/>
      <c r="H48" s="283"/>
    </row>
    <row r="49" spans="1:8" ht="13.5" customHeight="1">
      <c r="A49" s="383" t="s">
        <v>362</v>
      </c>
      <c r="B49" s="311">
        <f>SUM(B11:B47)</f>
        <v>45705100.19</v>
      </c>
      <c r="C49" s="311">
        <f>SUM(C11:C47)</f>
        <v>60342</v>
      </c>
      <c r="D49" s="311">
        <f>B49/C49</f>
        <v>757.434294355507</v>
      </c>
      <c r="E49" s="311">
        <f>SUM(E11:E47)</f>
        <v>33894161.6</v>
      </c>
      <c r="F49" s="284">
        <f>B49/E49</f>
        <v>1.3484652822921572</v>
      </c>
      <c r="G49" s="311">
        <f>SUM(G11:G47)</f>
        <v>22439413.7</v>
      </c>
      <c r="H49" s="284">
        <f>B49/G49</f>
        <v>2.036822387654451</v>
      </c>
    </row>
    <row r="50" spans="1:8" ht="4.5" customHeight="1">
      <c r="A50" s="389" t="s">
        <v>15</v>
      </c>
      <c r="B50" s="310"/>
      <c r="C50" s="310"/>
      <c r="D50" s="310"/>
      <c r="E50" s="310"/>
      <c r="F50" s="283"/>
      <c r="G50" s="310"/>
      <c r="H50" s="283"/>
    </row>
    <row r="51" spans="1:8" ht="13.5" customHeight="1">
      <c r="A51" s="388" t="s">
        <v>363</v>
      </c>
      <c r="B51" s="309">
        <f>'- 30 -'!D51</f>
        <v>58763</v>
      </c>
      <c r="C51" s="309">
        <v>89</v>
      </c>
      <c r="D51" s="309">
        <f ca="1">IF(AND(CELL("type",C51)="v",C51&gt;0),B51/C51,"")</f>
        <v>660.2584269662922</v>
      </c>
      <c r="E51" s="309">
        <v>24778</v>
      </c>
      <c r="F51" s="282">
        <f ca="1">IF(AND(CELL("type",E51)="v",E51&gt;0),B51/E51,"")</f>
        <v>2.371579627088546</v>
      </c>
      <c r="G51" s="309">
        <v>18620</v>
      </c>
      <c r="H51" s="282">
        <f ca="1">IF(AND(CELL("type",G51)="v",G51&gt;0),B51/G51,"")</f>
        <v>3.155907626208378</v>
      </c>
    </row>
    <row r="52" spans="1:8" ht="13.5" customHeight="1">
      <c r="A52" s="387" t="s">
        <v>364</v>
      </c>
      <c r="B52" s="308">
        <f>'- 30 -'!D52</f>
        <v>10468</v>
      </c>
      <c r="C52" s="426" t="s">
        <v>240</v>
      </c>
      <c r="D52" s="308">
        <f ca="1">IF(AND(CELL("type",C52)="v",C52&gt;0),B52/C52,"")</f>
      </c>
      <c r="E52" s="426" t="s">
        <v>240</v>
      </c>
      <c r="F52" s="281">
        <f ca="1">IF(AND(CELL("type",E52)="v",E52&gt;0),B52/E52,"")</f>
      </c>
      <c r="G52" s="426" t="s">
        <v>240</v>
      </c>
      <c r="H52" s="281">
        <f ca="1">IF(AND(CELL("type",G52)="v",G52&gt;0),B52/G52,"")</f>
      </c>
    </row>
    <row r="53" ht="49.5" customHeight="1"/>
    <row r="54" spans="1:8" ht="12" customHeight="1">
      <c r="A54" s="3"/>
      <c r="B54" s="9"/>
      <c r="C54" s="9"/>
      <c r="D54" s="9"/>
      <c r="E54" s="9"/>
      <c r="G54" s="9"/>
      <c r="H54" s="9"/>
    </row>
    <row r="55" spans="1:8" ht="12" customHeight="1">
      <c r="A55" s="3"/>
      <c r="B55" s="9"/>
      <c r="C55" s="9"/>
      <c r="D55" s="9"/>
      <c r="E55" s="9"/>
      <c r="F55" s="9"/>
      <c r="G55" s="9"/>
      <c r="H55" s="9"/>
    </row>
    <row r="56" spans="1:8" ht="12" customHeight="1">
      <c r="A56" s="3"/>
      <c r="B56" s="9"/>
      <c r="C56" s="9"/>
      <c r="D56" s="9"/>
      <c r="E56" s="9"/>
      <c r="F56" s="9"/>
      <c r="G56" s="9"/>
      <c r="H56" s="9"/>
    </row>
    <row r="57" spans="1:8" ht="12" customHeight="1">
      <c r="A57" s="3"/>
      <c r="B57" s="9"/>
      <c r="C57" s="9"/>
      <c r="D57" s="9"/>
      <c r="E57" s="9"/>
      <c r="F57" s="9"/>
      <c r="G57" s="9"/>
      <c r="H57" s="9"/>
    </row>
    <row r="58" spans="1:8" ht="12" customHeight="1">
      <c r="A58" s="3"/>
      <c r="B58" s="9"/>
      <c r="C58" s="9"/>
      <c r="D58" s="9"/>
      <c r="E58" s="9"/>
      <c r="F58" s="9"/>
      <c r="G58" s="9"/>
      <c r="H58" s="9"/>
    </row>
    <row r="59" ht="12" customHeight="1"/>
    <row r="60"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topLeftCell="A1">
      <selection activeCell="A1" sqref="A1"/>
    </sheetView>
  </sheetViews>
  <sheetFormatPr defaultColWidth="15.83203125" defaultRowHeight="12"/>
  <cols>
    <col min="1" max="1" width="33.83203125" style="67" customWidth="1"/>
    <col min="2" max="2" width="22.83203125" style="67" customWidth="1"/>
    <col min="3" max="3" width="19.83203125" style="67" customWidth="1"/>
    <col min="4" max="4" width="15.83203125" style="67" customWidth="1"/>
    <col min="5" max="5" width="42.83203125" style="67" customWidth="1"/>
    <col min="6" max="16384" width="15.83203125" style="67" customWidth="1"/>
  </cols>
  <sheetData>
    <row r="1" spans="1:5" ht="6.75" customHeight="1">
      <c r="A1" s="65"/>
      <c r="B1" s="116"/>
      <c r="C1" s="116"/>
      <c r="D1" s="116"/>
      <c r="E1" s="116"/>
    </row>
    <row r="2" spans="1:5" ht="15.75" customHeight="1">
      <c r="A2" s="333"/>
      <c r="B2" s="360" t="s">
        <v>224</v>
      </c>
      <c r="C2" s="164"/>
      <c r="D2" s="164"/>
      <c r="E2" s="173"/>
    </row>
    <row r="3" spans="1:5" ht="15.75" customHeight="1">
      <c r="A3" s="334"/>
      <c r="B3" s="456" t="str">
        <f>OPYEAR</f>
        <v>OPERATING FUND 2002/2003 ACTUAL</v>
      </c>
      <c r="C3" s="167"/>
      <c r="D3" s="167"/>
      <c r="E3" s="174"/>
    </row>
    <row r="4" spans="2:5" ht="15.75" customHeight="1">
      <c r="B4" s="116"/>
      <c r="C4" s="116"/>
      <c r="D4" s="116"/>
      <c r="E4" s="116"/>
    </row>
    <row r="5" spans="2:5" ht="15.75" customHeight="1">
      <c r="B5" s="43"/>
      <c r="C5" s="116"/>
      <c r="D5" s="116"/>
      <c r="E5" s="116"/>
    </row>
    <row r="6" spans="2:4" ht="15.75" customHeight="1">
      <c r="B6" s="53" t="s">
        <v>46</v>
      </c>
      <c r="C6" s="106"/>
      <c r="D6" s="170"/>
    </row>
    <row r="7" spans="2:4" ht="15.75" customHeight="1">
      <c r="B7" s="54" t="s">
        <v>83</v>
      </c>
      <c r="C7" s="55"/>
      <c r="D7" s="175"/>
    </row>
    <row r="8" spans="1:4" ht="15.75" customHeight="1">
      <c r="A8" s="313"/>
      <c r="B8" s="199"/>
      <c r="C8" s="176" t="s">
        <v>104</v>
      </c>
      <c r="D8" s="171" t="s">
        <v>105</v>
      </c>
    </row>
    <row r="9" spans="1:4" ht="15.75" customHeight="1">
      <c r="A9" s="314" t="s">
        <v>112</v>
      </c>
      <c r="B9" s="61" t="s">
        <v>113</v>
      </c>
      <c r="C9" s="61" t="s">
        <v>123</v>
      </c>
      <c r="D9" s="61" t="s">
        <v>121</v>
      </c>
    </row>
    <row r="10" ht="4.5" customHeight="1">
      <c r="A10" s="62"/>
    </row>
    <row r="11" spans="1:5" ht="13.5" customHeight="1">
      <c r="A11" s="387" t="s">
        <v>327</v>
      </c>
      <c r="B11" s="308">
        <f>SUM('- 30 -'!B11,'- 30 -'!D11,'- 31 -'!D11)</f>
        <v>800615.04</v>
      </c>
      <c r="C11" s="308">
        <v>718580</v>
      </c>
      <c r="D11" s="281">
        <f ca="1">IF(AND(CELL("type",C11)="v",C11&gt;0),B11/C11,"")</f>
        <v>1.11416270978875</v>
      </c>
      <c r="E11" s="177"/>
    </row>
    <row r="12" spans="1:5" ht="13.5" customHeight="1">
      <c r="A12" s="388" t="s">
        <v>328</v>
      </c>
      <c r="B12" s="309">
        <f>SUM('- 30 -'!B12,'- 30 -'!D12,'- 31 -'!D12)</f>
        <v>1464886</v>
      </c>
      <c r="C12" s="309">
        <v>1210704</v>
      </c>
      <c r="D12" s="282">
        <f aca="true" ca="1" t="shared" si="0" ref="D12:D47">IF(AND(CELL("type",C12)="v",C12&gt;0),B12/C12,"")</f>
        <v>1.2099456184170532</v>
      </c>
      <c r="E12" s="177"/>
    </row>
    <row r="13" spans="1:5" ht="13.5" customHeight="1">
      <c r="A13" s="387" t="s">
        <v>329</v>
      </c>
      <c r="B13" s="308">
        <f>SUM('- 30 -'!B13,'- 30 -'!D13,'- 31 -'!D13)</f>
        <v>1232189</v>
      </c>
      <c r="C13" s="308">
        <v>737861</v>
      </c>
      <c r="D13" s="281">
        <f ca="1" t="shared" si="0"/>
        <v>1.6699473207013245</v>
      </c>
      <c r="E13" s="177"/>
    </row>
    <row r="14" spans="1:5" ht="13.5" customHeight="1">
      <c r="A14" s="388" t="s">
        <v>366</v>
      </c>
      <c r="B14" s="309">
        <f>SUM('- 30 -'!B14,'- 30 -'!D14,'- 31 -'!D14)</f>
        <v>3068397</v>
      </c>
      <c r="C14" s="427" t="s">
        <v>416</v>
      </c>
      <c r="D14" s="282">
        <f ca="1" t="shared" si="0"/>
      </c>
      <c r="E14" s="177"/>
    </row>
    <row r="15" spans="1:5" ht="13.5" customHeight="1">
      <c r="A15" s="387" t="s">
        <v>330</v>
      </c>
      <c r="B15" s="308">
        <f>SUM('- 30 -'!B15,'- 30 -'!D15,'- 31 -'!D15)</f>
        <v>875196</v>
      </c>
      <c r="C15" s="308">
        <v>702833</v>
      </c>
      <c r="D15" s="281">
        <f ca="1" t="shared" si="0"/>
        <v>1.2452403344749037</v>
      </c>
      <c r="E15" s="177"/>
    </row>
    <row r="16" spans="1:5" ht="13.5" customHeight="1">
      <c r="A16" s="388" t="s">
        <v>331</v>
      </c>
      <c r="B16" s="309">
        <f>SUM('- 30 -'!B16,'- 30 -'!D16,'- 31 -'!D16)</f>
        <v>190347</v>
      </c>
      <c r="C16" s="427" t="s">
        <v>416</v>
      </c>
      <c r="D16" s="282">
        <f ca="1" t="shared" si="0"/>
      </c>
      <c r="E16" s="177"/>
    </row>
    <row r="17" spans="1:5" ht="13.5" customHeight="1">
      <c r="A17" s="387" t="s">
        <v>332</v>
      </c>
      <c r="B17" s="308">
        <f>SUM('- 30 -'!B17,'- 30 -'!D17,'- 31 -'!D17)</f>
        <v>1062981</v>
      </c>
      <c r="C17" s="308">
        <v>1088617</v>
      </c>
      <c r="D17" s="281">
        <f ca="1" t="shared" si="0"/>
        <v>0.9764508546164538</v>
      </c>
      <c r="E17" s="177"/>
    </row>
    <row r="18" spans="1:5" ht="13.5" customHeight="1">
      <c r="A18" s="388" t="s">
        <v>333</v>
      </c>
      <c r="B18" s="309">
        <f>SUM('- 30 -'!B18,'- 30 -'!D18,'- 31 -'!D18)</f>
        <v>3515673.2199999997</v>
      </c>
      <c r="C18" s="309">
        <v>1354466</v>
      </c>
      <c r="D18" s="282">
        <f ca="1" t="shared" si="0"/>
        <v>2.5956157039010206</v>
      </c>
      <c r="E18" s="177"/>
    </row>
    <row r="19" spans="1:5" ht="13.5" customHeight="1">
      <c r="A19" s="387" t="s">
        <v>334</v>
      </c>
      <c r="B19" s="308">
        <f>SUM('- 30 -'!B19,'- 30 -'!D19,'- 31 -'!D19)</f>
        <v>667604</v>
      </c>
      <c r="C19" s="308">
        <v>462679</v>
      </c>
      <c r="D19" s="281">
        <f ca="1" t="shared" si="0"/>
        <v>1.4429096630709413</v>
      </c>
      <c r="E19" s="177"/>
    </row>
    <row r="20" spans="1:5" ht="13.5" customHeight="1">
      <c r="A20" s="388" t="s">
        <v>335</v>
      </c>
      <c r="B20" s="309">
        <f>SUM('- 30 -'!B20,'- 30 -'!D20,'- 31 -'!D20)</f>
        <v>1778904</v>
      </c>
      <c r="C20" s="309">
        <v>1366032</v>
      </c>
      <c r="D20" s="282">
        <f ca="1" t="shared" si="0"/>
        <v>1.3022418215678695</v>
      </c>
      <c r="E20" s="177"/>
    </row>
    <row r="21" spans="1:5" ht="13.5" customHeight="1">
      <c r="A21" s="387" t="s">
        <v>336</v>
      </c>
      <c r="B21" s="308">
        <f>SUM('- 30 -'!B21,'- 30 -'!D21,'- 31 -'!D21)</f>
        <v>1627775</v>
      </c>
      <c r="C21" s="308">
        <v>1088104</v>
      </c>
      <c r="D21" s="281">
        <f ca="1" t="shared" si="0"/>
        <v>1.4959737304522362</v>
      </c>
      <c r="E21" s="177"/>
    </row>
    <row r="22" spans="1:5" ht="13.5" customHeight="1">
      <c r="A22" s="388" t="s">
        <v>337</v>
      </c>
      <c r="B22" s="309">
        <f>SUM('- 30 -'!B22,'- 30 -'!D22,'- 31 -'!D22)</f>
        <v>374489</v>
      </c>
      <c r="C22" s="309">
        <v>269199</v>
      </c>
      <c r="D22" s="282">
        <f ca="1" t="shared" si="0"/>
        <v>1.3911232954060007</v>
      </c>
      <c r="E22" s="177"/>
    </row>
    <row r="23" spans="1:5" ht="13.5" customHeight="1">
      <c r="A23" s="387" t="s">
        <v>338</v>
      </c>
      <c r="B23" s="308">
        <f>SUM('- 30 -'!B23,'- 30 -'!D23,'- 31 -'!D23)</f>
        <v>1152298</v>
      </c>
      <c r="C23" s="308">
        <v>1136523</v>
      </c>
      <c r="D23" s="281">
        <f ca="1" t="shared" si="0"/>
        <v>1.0138800534613026</v>
      </c>
      <c r="E23" s="177"/>
    </row>
    <row r="24" spans="1:5" ht="13.5" customHeight="1">
      <c r="A24" s="388" t="s">
        <v>339</v>
      </c>
      <c r="B24" s="309">
        <f>SUM('- 30 -'!B24,'- 30 -'!D24,'- 31 -'!D24)</f>
        <v>1694396</v>
      </c>
      <c r="C24" s="309">
        <v>1116306</v>
      </c>
      <c r="D24" s="282">
        <f ca="1" t="shared" si="0"/>
        <v>1.5178597982990327</v>
      </c>
      <c r="E24" s="177"/>
    </row>
    <row r="25" spans="1:5" ht="13.5" customHeight="1">
      <c r="A25" s="387" t="s">
        <v>340</v>
      </c>
      <c r="B25" s="308">
        <f>SUM('- 30 -'!B25,'- 30 -'!D25,'- 31 -'!D25)</f>
        <v>1540509</v>
      </c>
      <c r="C25" s="308">
        <v>547791</v>
      </c>
      <c r="D25" s="281">
        <f ca="1" t="shared" si="0"/>
        <v>2.812220354113156</v>
      </c>
      <c r="E25" s="177"/>
    </row>
    <row r="26" spans="1:5" ht="13.5" customHeight="1">
      <c r="A26" s="388" t="s">
        <v>341</v>
      </c>
      <c r="B26" s="309">
        <f>SUM('- 30 -'!B26,'- 30 -'!D26,'- 31 -'!D26)</f>
        <v>1915536.29</v>
      </c>
      <c r="C26" s="309">
        <v>1377747</v>
      </c>
      <c r="D26" s="282">
        <f ca="1" t="shared" si="0"/>
        <v>1.390339655974573</v>
      </c>
      <c r="E26" s="177"/>
    </row>
    <row r="27" spans="1:5" ht="13.5" customHeight="1">
      <c r="A27" s="387" t="s">
        <v>342</v>
      </c>
      <c r="B27" s="308">
        <f>SUM('- 30 -'!B27,'- 30 -'!D27,'- 31 -'!D27)</f>
        <v>47385</v>
      </c>
      <c r="C27" s="426" t="s">
        <v>240</v>
      </c>
      <c r="D27" s="281">
        <f ca="1" t="shared" si="0"/>
      </c>
      <c r="E27" s="177"/>
    </row>
    <row r="28" spans="1:5" ht="13.5" customHeight="1">
      <c r="A28" s="388" t="s">
        <v>343</v>
      </c>
      <c r="B28" s="309">
        <f>SUM('- 30 -'!B28,'- 30 -'!D28,'- 31 -'!D28)</f>
        <v>1759713</v>
      </c>
      <c r="C28" s="309">
        <v>1562706</v>
      </c>
      <c r="D28" s="282">
        <f ca="1" t="shared" si="0"/>
        <v>1.1260678592134412</v>
      </c>
      <c r="E28" s="177"/>
    </row>
    <row r="29" spans="1:5" ht="13.5" customHeight="1">
      <c r="A29" s="387" t="s">
        <v>344</v>
      </c>
      <c r="B29" s="308">
        <f>SUM('- 30 -'!B29,'- 30 -'!D29,'- 31 -'!D29)</f>
        <v>1344245</v>
      </c>
      <c r="C29" s="308">
        <v>507164</v>
      </c>
      <c r="D29" s="281">
        <f ca="1" t="shared" si="0"/>
        <v>2.6505134433832054</v>
      </c>
      <c r="E29" s="177"/>
    </row>
    <row r="30" spans="1:5" ht="13.5" customHeight="1">
      <c r="A30" s="388" t="s">
        <v>345</v>
      </c>
      <c r="B30" s="309">
        <f>SUM('- 30 -'!B30,'- 30 -'!D30,'- 31 -'!D30)</f>
        <v>907461</v>
      </c>
      <c r="C30" s="309">
        <v>953690</v>
      </c>
      <c r="D30" s="282">
        <f ca="1" t="shared" si="0"/>
        <v>0.9515261772693433</v>
      </c>
      <c r="E30" s="177"/>
    </row>
    <row r="31" spans="1:5" ht="13.5" customHeight="1">
      <c r="A31" s="387" t="s">
        <v>346</v>
      </c>
      <c r="B31" s="308">
        <f>SUM('- 30 -'!B31,'- 30 -'!D31,'- 31 -'!D31)</f>
        <v>741565</v>
      </c>
      <c r="C31" s="308">
        <v>733500</v>
      </c>
      <c r="D31" s="281">
        <f ca="1" t="shared" si="0"/>
        <v>1.0109952283571915</v>
      </c>
      <c r="E31" s="177"/>
    </row>
    <row r="32" spans="1:5" ht="13.5" customHeight="1">
      <c r="A32" s="388" t="s">
        <v>347</v>
      </c>
      <c r="B32" s="309">
        <f>SUM('- 30 -'!B32,'- 30 -'!D32,'- 31 -'!D32)</f>
        <v>1488393</v>
      </c>
      <c r="C32" s="309">
        <v>1243240</v>
      </c>
      <c r="D32" s="282">
        <f ca="1" t="shared" si="0"/>
        <v>1.1971887970142532</v>
      </c>
      <c r="E32" s="177"/>
    </row>
    <row r="33" spans="1:5" ht="13.5" customHeight="1">
      <c r="A33" s="387" t="s">
        <v>348</v>
      </c>
      <c r="B33" s="308">
        <f>SUM('- 30 -'!B33,'- 30 -'!D33,'- 31 -'!D33)</f>
        <v>2004277</v>
      </c>
      <c r="C33" s="308">
        <v>1797189</v>
      </c>
      <c r="D33" s="281">
        <f ca="1" t="shared" si="0"/>
        <v>1.1152288379241138</v>
      </c>
      <c r="E33" s="177"/>
    </row>
    <row r="34" spans="1:5" ht="13.5" customHeight="1">
      <c r="A34" s="388" t="s">
        <v>349</v>
      </c>
      <c r="B34" s="309">
        <f>SUM('- 30 -'!B34,'- 30 -'!D34,'- 31 -'!D34)</f>
        <v>1580317</v>
      </c>
      <c r="C34" s="309">
        <v>1315353</v>
      </c>
      <c r="D34" s="282">
        <f ca="1" t="shared" si="0"/>
        <v>1.2014394614981683</v>
      </c>
      <c r="E34" s="177"/>
    </row>
    <row r="35" spans="1:5" ht="13.5" customHeight="1">
      <c r="A35" s="387" t="s">
        <v>350</v>
      </c>
      <c r="B35" s="308">
        <f>SUM('- 30 -'!B35,'- 30 -'!D35,'- 31 -'!D35)</f>
        <v>2198708</v>
      </c>
      <c r="C35" s="308">
        <v>973538</v>
      </c>
      <c r="D35" s="281">
        <f ca="1" t="shared" si="0"/>
        <v>2.2584716775308205</v>
      </c>
      <c r="E35" s="177"/>
    </row>
    <row r="36" spans="1:5" ht="13.5" customHeight="1">
      <c r="A36" s="388" t="s">
        <v>351</v>
      </c>
      <c r="B36" s="309">
        <f>SUM('- 30 -'!B36,'- 30 -'!D36,'- 31 -'!D36)</f>
        <v>1110923</v>
      </c>
      <c r="C36" s="309">
        <v>1062248</v>
      </c>
      <c r="D36" s="282">
        <f ca="1" t="shared" si="0"/>
        <v>1.0458226327561926</v>
      </c>
      <c r="E36" s="177"/>
    </row>
    <row r="37" spans="1:5" ht="13.5" customHeight="1">
      <c r="A37" s="387" t="s">
        <v>352</v>
      </c>
      <c r="B37" s="308">
        <f>SUM('- 30 -'!B37,'- 30 -'!D37,'- 31 -'!D37)</f>
        <v>1565050</v>
      </c>
      <c r="C37" s="308">
        <v>1063399</v>
      </c>
      <c r="D37" s="281">
        <f ca="1" t="shared" si="0"/>
        <v>1.4717429675972988</v>
      </c>
      <c r="E37" s="177"/>
    </row>
    <row r="38" spans="1:5" ht="13.5" customHeight="1">
      <c r="A38" s="388" t="s">
        <v>353</v>
      </c>
      <c r="B38" s="309">
        <f>SUM('- 30 -'!B38,'- 30 -'!D38,'- 31 -'!D38)</f>
        <v>1870515</v>
      </c>
      <c r="C38" s="309">
        <v>654067</v>
      </c>
      <c r="D38" s="282">
        <f ca="1" t="shared" si="0"/>
        <v>2.8598217002233715</v>
      </c>
      <c r="E38" s="177"/>
    </row>
    <row r="39" spans="1:5" ht="13.5" customHeight="1">
      <c r="A39" s="387" t="s">
        <v>354</v>
      </c>
      <c r="B39" s="308">
        <f>SUM('- 30 -'!B39,'- 30 -'!D39,'- 31 -'!D39)</f>
        <v>1308091</v>
      </c>
      <c r="C39" s="308">
        <v>1387272</v>
      </c>
      <c r="D39" s="281">
        <f ca="1" t="shared" si="0"/>
        <v>0.9429232335115247</v>
      </c>
      <c r="E39" s="177"/>
    </row>
    <row r="40" spans="1:5" ht="13.5" customHeight="1">
      <c r="A40" s="388" t="s">
        <v>355</v>
      </c>
      <c r="B40" s="309">
        <f>SUM('- 30 -'!B40,'- 30 -'!D40,'- 31 -'!D40)</f>
        <v>968406</v>
      </c>
      <c r="C40" s="309">
        <v>476535</v>
      </c>
      <c r="D40" s="282">
        <f ca="1" t="shared" si="0"/>
        <v>2.0321823160943056</v>
      </c>
      <c r="E40" s="177"/>
    </row>
    <row r="41" spans="1:5" ht="13.5" customHeight="1">
      <c r="A41" s="387" t="s">
        <v>356</v>
      </c>
      <c r="B41" s="308">
        <f>SUM('- 30 -'!B41,'- 30 -'!D41,'- 31 -'!D41)</f>
        <v>2974744</v>
      </c>
      <c r="C41" s="308">
        <v>2420345</v>
      </c>
      <c r="D41" s="281">
        <f ca="1" t="shared" si="0"/>
        <v>1.2290578409276363</v>
      </c>
      <c r="E41" s="177"/>
    </row>
    <row r="42" spans="1:5" ht="13.5" customHeight="1">
      <c r="A42" s="388" t="s">
        <v>357</v>
      </c>
      <c r="B42" s="309">
        <f>SUM('- 30 -'!B42,'- 30 -'!D42,'- 31 -'!D42)</f>
        <v>1142474</v>
      </c>
      <c r="C42" s="309">
        <v>855792</v>
      </c>
      <c r="D42" s="282">
        <f ca="1" t="shared" si="0"/>
        <v>1.3349902780114795</v>
      </c>
      <c r="E42" s="177"/>
    </row>
    <row r="43" spans="1:5" ht="13.5" customHeight="1">
      <c r="A43" s="387" t="s">
        <v>358</v>
      </c>
      <c r="B43" s="308">
        <f>SUM('- 30 -'!B43,'- 30 -'!D43,'- 31 -'!D43)</f>
        <v>762585</v>
      </c>
      <c r="C43" s="308">
        <v>752430</v>
      </c>
      <c r="D43" s="281">
        <f ca="1" t="shared" si="0"/>
        <v>1.0134962720784657</v>
      </c>
      <c r="E43" s="177"/>
    </row>
    <row r="44" spans="1:5" ht="13.5" customHeight="1">
      <c r="A44" s="388" t="s">
        <v>359</v>
      </c>
      <c r="B44" s="309">
        <f>SUM('- 30 -'!B44,'- 30 -'!D44,'- 31 -'!D44)</f>
        <v>784600</v>
      </c>
      <c r="C44" s="309">
        <v>784739</v>
      </c>
      <c r="D44" s="282">
        <f ca="1" t="shared" si="0"/>
        <v>0.9998228710437483</v>
      </c>
      <c r="E44" s="177"/>
    </row>
    <row r="45" spans="1:5" ht="13.5" customHeight="1">
      <c r="A45" s="387" t="s">
        <v>360</v>
      </c>
      <c r="B45" s="308">
        <f>SUM('- 30 -'!B45,'- 30 -'!D45,'- 31 -'!D45)</f>
        <v>366240</v>
      </c>
      <c r="C45" s="308">
        <v>270726</v>
      </c>
      <c r="D45" s="281">
        <f ca="1" t="shared" si="0"/>
        <v>1.3528068970102614</v>
      </c>
      <c r="E45" s="177"/>
    </row>
    <row r="46" spans="1:5" ht="13.5" customHeight="1">
      <c r="A46" s="388" t="s">
        <v>361</v>
      </c>
      <c r="B46" s="309">
        <f>SUM('- 30 -'!B46,'- 30 -'!D46,'- 31 -'!D46)</f>
        <v>3288165</v>
      </c>
      <c r="C46" s="309">
        <v>1106000</v>
      </c>
      <c r="D46" s="282">
        <f ca="1" t="shared" si="0"/>
        <v>2.973024412296564</v>
      </c>
      <c r="E46" s="177"/>
    </row>
    <row r="47" spans="1:5" ht="13.5" customHeight="1">
      <c r="A47" s="387" t="s">
        <v>365</v>
      </c>
      <c r="B47" s="308">
        <f>SUM('- 30 -'!B47,'- 30 -'!D47,'- 31 -'!D47)</f>
        <v>0</v>
      </c>
      <c r="C47" s="308">
        <v>0</v>
      </c>
      <c r="D47" s="281">
        <f ca="1" t="shared" si="0"/>
      </c>
      <c r="E47" s="177"/>
    </row>
    <row r="48" spans="1:5" ht="4.5" customHeight="1">
      <c r="A48" s="389"/>
      <c r="B48" s="310"/>
      <c r="C48" s="310"/>
      <c r="D48" s="283"/>
      <c r="E48" s="177"/>
    </row>
    <row r="49" spans="1:5" ht="13.5" customHeight="1">
      <c r="A49" s="383" t="s">
        <v>362</v>
      </c>
      <c r="B49" s="311">
        <f>SUM(B11:B47)</f>
        <v>51175652.55</v>
      </c>
      <c r="C49" s="311">
        <f>SUM(C11:C47)</f>
        <v>33097375</v>
      </c>
      <c r="D49" s="284">
        <f>B49/C49</f>
        <v>1.5462148448328605</v>
      </c>
      <c r="E49" s="177"/>
    </row>
    <row r="50" spans="1:4" ht="4.5" customHeight="1">
      <c r="A50" s="389" t="s">
        <v>15</v>
      </c>
      <c r="B50" s="310"/>
      <c r="C50" s="310"/>
      <c r="D50" s="283"/>
    </row>
    <row r="51" spans="1:5" ht="13.5" customHeight="1">
      <c r="A51" s="388" t="s">
        <v>363</v>
      </c>
      <c r="B51" s="309">
        <f>SUM('- 30 -'!B51,'- 30 -'!D51,'- 31 -'!D51)</f>
        <v>60163</v>
      </c>
      <c r="C51" s="309">
        <v>24778</v>
      </c>
      <c r="D51" s="282">
        <f ca="1">IF(AND(CELL("type",C51)="v",C51&gt;0),B51/C51,"")</f>
        <v>2.428081362498991</v>
      </c>
      <c r="E51" s="177"/>
    </row>
    <row r="52" spans="1:5" ht="13.5" customHeight="1">
      <c r="A52" s="387" t="s">
        <v>364</v>
      </c>
      <c r="B52" s="308">
        <f>SUM('- 30 -'!B52,'- 30 -'!D52,'- 31 -'!D52)</f>
        <v>31375</v>
      </c>
      <c r="C52" s="426" t="s">
        <v>240</v>
      </c>
      <c r="D52" s="281">
        <f ca="1">IF(AND(CELL("type",C52)="v",C52&gt;0),B52/C52,"")</f>
      </c>
      <c r="E52" s="177"/>
    </row>
    <row r="53" ht="49.5" customHeight="1"/>
    <row r="54" spans="1:4" ht="12" customHeight="1">
      <c r="A54" s="3"/>
      <c r="B54" s="9"/>
      <c r="C54" s="9"/>
      <c r="D54" s="9"/>
    </row>
    <row r="55" spans="1:4" ht="12" customHeight="1">
      <c r="A55" s="3"/>
      <c r="B55" s="9"/>
      <c r="C55" s="9"/>
      <c r="D55" s="9"/>
    </row>
    <row r="56" spans="1:4" ht="12" customHeight="1">
      <c r="A56" s="3"/>
      <c r="B56" s="9"/>
      <c r="C56" s="9"/>
      <c r="D56" s="9"/>
    </row>
    <row r="57" spans="1:4" ht="12" customHeight="1">
      <c r="A57" s="3"/>
      <c r="B57" s="9"/>
      <c r="C57" s="9"/>
      <c r="D57" s="9"/>
    </row>
    <row r="58" spans="1:4" ht="12" customHeight="1">
      <c r="A58" s="3"/>
      <c r="B58" s="9"/>
      <c r="C58" s="9"/>
      <c r="D58" s="9"/>
    </row>
    <row r="59" spans="2:4" ht="12" customHeight="1">
      <c r="B59" s="9"/>
      <c r="C59" s="9"/>
      <c r="D59" s="9"/>
    </row>
    <row r="60"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7"/>
  <sheetViews>
    <sheetView showGridLines="0" showZeros="0" workbookViewId="0" topLeftCell="A1">
      <selection activeCell="A1" sqref="A1"/>
    </sheetView>
  </sheetViews>
  <sheetFormatPr defaultColWidth="15.83203125" defaultRowHeight="12"/>
  <cols>
    <col min="1" max="1" width="35.83203125" style="67" customWidth="1"/>
    <col min="2" max="2" width="17.83203125" style="67" customWidth="1"/>
    <col min="3" max="5" width="15.83203125" style="67" customWidth="1"/>
    <col min="6" max="6" width="17.83203125" style="67" customWidth="1"/>
    <col min="7" max="16384" width="15.83203125" style="67" customWidth="1"/>
  </cols>
  <sheetData>
    <row r="1" spans="1:6" ht="6.75" customHeight="1">
      <c r="A1" s="65"/>
      <c r="B1" s="116"/>
      <c r="C1" s="116"/>
      <c r="D1" s="116"/>
      <c r="E1" s="116"/>
      <c r="F1" s="116"/>
    </row>
    <row r="2" spans="1:7" ht="15.75" customHeight="1">
      <c r="A2" s="360" t="s">
        <v>369</v>
      </c>
      <c r="B2" s="329"/>
      <c r="C2" s="165"/>
      <c r="D2" s="164"/>
      <c r="E2" s="164"/>
      <c r="F2" s="164"/>
      <c r="G2" s="164"/>
    </row>
    <row r="3" spans="1:7" ht="15.75" customHeight="1">
      <c r="A3" s="456" t="str">
        <f>OPYEAR</f>
        <v>OPERATING FUND 2002/2003 ACTUAL</v>
      </c>
      <c r="B3" s="330"/>
      <c r="C3" s="168"/>
      <c r="D3" s="167"/>
      <c r="E3" s="167"/>
      <c r="F3" s="167"/>
      <c r="G3" s="167"/>
    </row>
    <row r="4" spans="2:6" ht="15.75" customHeight="1">
      <c r="B4" s="116"/>
      <c r="C4" s="116"/>
      <c r="D4" s="146"/>
      <c r="E4" s="116"/>
      <c r="F4" s="116"/>
    </row>
    <row r="5" spans="2:6" ht="15.75" customHeight="1">
      <c r="B5" s="43"/>
      <c r="C5" s="116"/>
      <c r="D5" s="116"/>
      <c r="E5" s="116"/>
      <c r="F5" s="116"/>
    </row>
    <row r="6" spans="2:7" ht="15.75" customHeight="1">
      <c r="B6" s="169"/>
      <c r="C6" s="307"/>
      <c r="D6" s="106"/>
      <c r="E6" s="170"/>
      <c r="F6" s="51" t="s">
        <v>47</v>
      </c>
      <c r="G6" s="52"/>
    </row>
    <row r="7" spans="2:9" ht="15.75" customHeight="1">
      <c r="B7" s="54" t="s">
        <v>79</v>
      </c>
      <c r="C7" s="55"/>
      <c r="D7" s="55"/>
      <c r="E7" s="56"/>
      <c r="F7" s="55" t="s">
        <v>84</v>
      </c>
      <c r="G7" s="56"/>
      <c r="I7" s="1" t="s">
        <v>81</v>
      </c>
    </row>
    <row r="8" spans="1:9" ht="15.75" customHeight="1">
      <c r="A8" s="313"/>
      <c r="B8" s="171" t="s">
        <v>15</v>
      </c>
      <c r="C8" s="191" t="s">
        <v>107</v>
      </c>
      <c r="D8" s="172" t="s">
        <v>107</v>
      </c>
      <c r="E8" s="172" t="s">
        <v>311</v>
      </c>
      <c r="F8" s="171" t="s">
        <v>15</v>
      </c>
      <c r="G8" s="171" t="s">
        <v>107</v>
      </c>
      <c r="I8" s="1" t="s">
        <v>111</v>
      </c>
    </row>
    <row r="9" spans="1:9" ht="15.75" customHeight="1">
      <c r="A9" s="314" t="s">
        <v>112</v>
      </c>
      <c r="B9" s="61" t="s">
        <v>113</v>
      </c>
      <c r="C9" s="61" t="s">
        <v>115</v>
      </c>
      <c r="D9" s="61" t="s">
        <v>312</v>
      </c>
      <c r="E9" s="61" t="s">
        <v>313</v>
      </c>
      <c r="F9" s="61" t="s">
        <v>113</v>
      </c>
      <c r="G9" s="61" t="s">
        <v>312</v>
      </c>
      <c r="I9" s="1" t="s">
        <v>410</v>
      </c>
    </row>
    <row r="10" spans="1:9" ht="4.5" customHeight="1">
      <c r="A10" s="62"/>
      <c r="I10" s="3"/>
    </row>
    <row r="11" spans="1:9" ht="13.5" customHeight="1">
      <c r="A11" s="387" t="s">
        <v>327</v>
      </c>
      <c r="B11" s="308">
        <f>'- 32 -'!D11</f>
        <v>924518</v>
      </c>
      <c r="C11" s="308">
        <f>B11/'- 7 -'!F11</f>
        <v>569.8107858243452</v>
      </c>
      <c r="D11" s="281">
        <f aca="true" t="shared" si="0" ref="D11:D42">B11/I11</f>
        <v>3.952924979263047</v>
      </c>
      <c r="E11" s="308">
        <f>I11/'- 7 -'!F11</f>
        <v>144.1491525423729</v>
      </c>
      <c r="F11" s="308">
        <f>'- 32 -'!F11</f>
        <v>270426</v>
      </c>
      <c r="G11" s="281">
        <f aca="true" t="shared" si="1" ref="G11:G42">F11/I11</f>
        <v>1.1562497327712264</v>
      </c>
      <c r="I11">
        <v>233882</v>
      </c>
    </row>
    <row r="12" spans="1:9" ht="13.5" customHeight="1">
      <c r="A12" s="388" t="s">
        <v>328</v>
      </c>
      <c r="B12" s="309">
        <f>'- 32 -'!D12</f>
        <v>1667349</v>
      </c>
      <c r="C12" s="309">
        <f>B12/'- 7 -'!F12</f>
        <v>709.5404059747223</v>
      </c>
      <c r="D12" s="282">
        <f t="shared" si="0"/>
        <v>4.304324592246092</v>
      </c>
      <c r="E12" s="309">
        <f>I12/'- 7 -'!F12</f>
        <v>164.84361036639856</v>
      </c>
      <c r="F12" s="309">
        <f>'- 32 -'!F12</f>
        <v>76540</v>
      </c>
      <c r="G12" s="282">
        <f t="shared" si="1"/>
        <v>0.19759090885622382</v>
      </c>
      <c r="I12">
        <v>387366</v>
      </c>
    </row>
    <row r="13" spans="1:9" ht="13.5" customHeight="1">
      <c r="A13" s="387" t="s">
        <v>329</v>
      </c>
      <c r="B13" s="308">
        <f>'- 32 -'!D13</f>
        <v>3929863</v>
      </c>
      <c r="C13" s="308">
        <f>B13/'- 7 -'!F13</f>
        <v>538.8541066776361</v>
      </c>
      <c r="D13" s="281">
        <f t="shared" si="0"/>
        <v>3.6670081862046637</v>
      </c>
      <c r="E13" s="308">
        <f>I13/'- 7 -'!F13</f>
        <v>146.94652406417111</v>
      </c>
      <c r="F13" s="308">
        <f>'- 32 -'!F13</f>
        <v>325749</v>
      </c>
      <c r="G13" s="281">
        <f t="shared" si="1"/>
        <v>0.3039607868386208</v>
      </c>
      <c r="I13">
        <v>1071681</v>
      </c>
    </row>
    <row r="14" spans="1:9" ht="13.5" customHeight="1">
      <c r="A14" s="388" t="s">
        <v>366</v>
      </c>
      <c r="B14" s="309">
        <f>'- 32 -'!D14</f>
        <v>3396938</v>
      </c>
      <c r="C14" s="309">
        <f>B14/'- 7 -'!F14</f>
        <v>793.8254813983923</v>
      </c>
      <c r="D14" s="282">
        <f t="shared" si="0"/>
        <v>4.801434378728</v>
      </c>
      <c r="E14" s="309">
        <f>I14/'- 7 -'!F14</f>
        <v>165.33090297251823</v>
      </c>
      <c r="F14" s="309">
        <f>'- 32 -'!F14</f>
        <v>523498</v>
      </c>
      <c r="G14" s="282">
        <f t="shared" si="1"/>
        <v>0.7399432354653956</v>
      </c>
      <c r="I14">
        <v>707484</v>
      </c>
    </row>
    <row r="15" spans="1:9" ht="13.5" customHeight="1">
      <c r="A15" s="387" t="s">
        <v>330</v>
      </c>
      <c r="B15" s="308">
        <f>'- 32 -'!D15</f>
        <v>1212637</v>
      </c>
      <c r="C15" s="308">
        <f>B15/'- 7 -'!F15</f>
        <v>719.2390272835113</v>
      </c>
      <c r="D15" s="281">
        <f t="shared" si="0"/>
        <v>4.238048306544904</v>
      </c>
      <c r="E15" s="308">
        <f>I15/'- 7 -'!F15</f>
        <v>169.7099644128114</v>
      </c>
      <c r="F15" s="308">
        <f>'- 32 -'!F15</f>
        <v>71185</v>
      </c>
      <c r="G15" s="281">
        <f t="shared" si="1"/>
        <v>0.24878464759148783</v>
      </c>
      <c r="I15">
        <v>286131</v>
      </c>
    </row>
    <row r="16" spans="1:9" ht="13.5" customHeight="1">
      <c r="A16" s="388" t="s">
        <v>331</v>
      </c>
      <c r="B16" s="309">
        <f>'- 32 -'!D16</f>
        <v>1340907</v>
      </c>
      <c r="C16" s="309">
        <f>B16/'- 7 -'!F16</f>
        <v>951.5917735891904</v>
      </c>
      <c r="D16" s="282">
        <f t="shared" si="0"/>
        <v>5.780469194557964</v>
      </c>
      <c r="E16" s="309">
        <f>I16/'- 7 -'!F16</f>
        <v>164.62189167707507</v>
      </c>
      <c r="F16" s="309">
        <f>'- 32 -'!F16</f>
        <v>77336</v>
      </c>
      <c r="G16" s="282">
        <f t="shared" si="1"/>
        <v>0.33338506371458626</v>
      </c>
      <c r="I16">
        <v>231972</v>
      </c>
    </row>
    <row r="17" spans="1:9" ht="13.5" customHeight="1">
      <c r="A17" s="387" t="s">
        <v>332</v>
      </c>
      <c r="B17" s="308">
        <f>'- 32 -'!D17</f>
        <v>1162535</v>
      </c>
      <c r="C17" s="308">
        <f>B17/'- 7 -'!F17</f>
        <v>740.1475793923651</v>
      </c>
      <c r="D17" s="281">
        <f t="shared" si="0"/>
        <v>4.307344310401043</v>
      </c>
      <c r="E17" s="308">
        <f>I17/'- 7 -'!F17</f>
        <v>171.83385540020882</v>
      </c>
      <c r="F17" s="308">
        <f>'- 32 -'!F17</f>
        <v>160193</v>
      </c>
      <c r="G17" s="281">
        <f t="shared" si="1"/>
        <v>0.5935360286925334</v>
      </c>
      <c r="I17">
        <v>269896</v>
      </c>
    </row>
    <row r="18" spans="1:9" ht="13.5" customHeight="1">
      <c r="A18" s="388" t="s">
        <v>333</v>
      </c>
      <c r="B18" s="309">
        <f>'- 32 -'!D18</f>
        <v>10116815.059999999</v>
      </c>
      <c r="C18" s="309">
        <f>B18/'- 7 -'!F18</f>
        <v>1706.3273840445268</v>
      </c>
      <c r="D18" s="282">
        <f t="shared" si="0"/>
        <v>8.442090108463272</v>
      </c>
      <c r="E18" s="309">
        <f>I18/'- 7 -'!F18</f>
        <v>202.12143700455388</v>
      </c>
      <c r="F18" s="309">
        <f>'- 32 -'!F18</f>
        <v>722321</v>
      </c>
      <c r="G18" s="282">
        <f t="shared" si="1"/>
        <v>0.6027488822391599</v>
      </c>
      <c r="I18">
        <v>1198378</v>
      </c>
    </row>
    <row r="19" spans="1:9" ht="13.5" customHeight="1">
      <c r="A19" s="387" t="s">
        <v>334</v>
      </c>
      <c r="B19" s="308">
        <f>'- 32 -'!D19</f>
        <v>1477962</v>
      </c>
      <c r="C19" s="308">
        <f>B19/'- 7 -'!F19</f>
        <v>504.8891469955249</v>
      </c>
      <c r="D19" s="281">
        <f t="shared" si="0"/>
        <v>4.273419112331935</v>
      </c>
      <c r="E19" s="308">
        <f>I19/'- 7 -'!F19</f>
        <v>118.14641478495543</v>
      </c>
      <c r="F19" s="308">
        <f>'- 32 -'!F19</f>
        <v>47074</v>
      </c>
      <c r="G19" s="281">
        <f t="shared" si="1"/>
        <v>0.13611103079369669</v>
      </c>
      <c r="I19">
        <v>345850</v>
      </c>
    </row>
    <row r="20" spans="1:9" ht="13.5" customHeight="1">
      <c r="A20" s="388" t="s">
        <v>335</v>
      </c>
      <c r="B20" s="309">
        <f>'- 32 -'!D20</f>
        <v>3329501</v>
      </c>
      <c r="C20" s="309">
        <f>B20/'- 7 -'!F20</f>
        <v>543.9472308446333</v>
      </c>
      <c r="D20" s="282">
        <f t="shared" si="0"/>
        <v>4.378825141642687</v>
      </c>
      <c r="E20" s="309">
        <f>I20/'- 7 -'!F20</f>
        <v>124.22218591733377</v>
      </c>
      <c r="F20" s="309">
        <f>'- 32 -'!F20</f>
        <v>144736</v>
      </c>
      <c r="G20" s="282">
        <f t="shared" si="1"/>
        <v>0.19035093718271776</v>
      </c>
      <c r="I20">
        <v>760364</v>
      </c>
    </row>
    <row r="21" spans="1:9" ht="13.5" customHeight="1">
      <c r="A21" s="387" t="s">
        <v>336</v>
      </c>
      <c r="B21" s="308">
        <f>'- 32 -'!D21</f>
        <v>1961484</v>
      </c>
      <c r="C21" s="308">
        <f>B21/'- 7 -'!F21</f>
        <v>592.7007916842932</v>
      </c>
      <c r="D21" s="281">
        <f t="shared" si="0"/>
        <v>4.447506972314809</v>
      </c>
      <c r="E21" s="308">
        <f>I21/'- 7 -'!F21</f>
        <v>133.26584879434338</v>
      </c>
      <c r="F21" s="308">
        <f>'- 32 -'!F21</f>
        <v>516840</v>
      </c>
      <c r="G21" s="281">
        <f t="shared" si="1"/>
        <v>1.1718930684987416</v>
      </c>
      <c r="I21">
        <v>441030</v>
      </c>
    </row>
    <row r="22" spans="1:9" ht="13.5" customHeight="1">
      <c r="A22" s="388" t="s">
        <v>337</v>
      </c>
      <c r="B22" s="309">
        <f>'- 32 -'!D22</f>
        <v>1375150</v>
      </c>
      <c r="C22" s="309">
        <f>B22/'- 7 -'!F22</f>
        <v>813.698224852071</v>
      </c>
      <c r="D22" s="282">
        <f t="shared" si="0"/>
        <v>4.04208601796548</v>
      </c>
      <c r="E22" s="309">
        <f>I22/'- 7 -'!F22</f>
        <v>201.30650887573964</v>
      </c>
      <c r="F22" s="309">
        <f>'- 32 -'!F22</f>
        <v>69944</v>
      </c>
      <c r="G22" s="282">
        <f t="shared" si="1"/>
        <v>0.20559187320697925</v>
      </c>
      <c r="I22">
        <v>340208</v>
      </c>
    </row>
    <row r="23" spans="1:9" ht="13.5" customHeight="1">
      <c r="A23" s="387" t="s">
        <v>338</v>
      </c>
      <c r="B23" s="308">
        <f>'- 32 -'!D23</f>
        <v>828546</v>
      </c>
      <c r="C23" s="308">
        <f>B23/'- 7 -'!F23</f>
        <v>604.2929035081322</v>
      </c>
      <c r="D23" s="281">
        <f t="shared" si="0"/>
        <v>3.72668309884495</v>
      </c>
      <c r="E23" s="308">
        <f>I23/'- 7 -'!F23</f>
        <v>162.1530158267085</v>
      </c>
      <c r="F23" s="308">
        <f>'- 32 -'!F23</f>
        <v>95804</v>
      </c>
      <c r="G23" s="281">
        <f t="shared" si="1"/>
        <v>0.43091288546651796</v>
      </c>
      <c r="I23">
        <v>222328</v>
      </c>
    </row>
    <row r="24" spans="1:9" ht="13.5" customHeight="1">
      <c r="A24" s="388" t="s">
        <v>339</v>
      </c>
      <c r="B24" s="309">
        <f>'- 32 -'!D24</f>
        <v>3191012</v>
      </c>
      <c r="C24" s="309">
        <f>B24/'- 7 -'!F24</f>
        <v>691.938330767396</v>
      </c>
      <c r="D24" s="282">
        <f t="shared" si="0"/>
        <v>4.928934637413423</v>
      </c>
      <c r="E24" s="309">
        <f>I24/'- 7 -'!F24</f>
        <v>140.38293904633866</v>
      </c>
      <c r="F24" s="309">
        <f>'- 32 -'!F24</f>
        <v>129326</v>
      </c>
      <c r="G24" s="282">
        <f t="shared" si="1"/>
        <v>0.19976089119004517</v>
      </c>
      <c r="I24">
        <v>647404</v>
      </c>
    </row>
    <row r="25" spans="1:9" ht="13.5" customHeight="1">
      <c r="A25" s="387" t="s">
        <v>340</v>
      </c>
      <c r="B25" s="308">
        <f>'- 32 -'!D25</f>
        <v>10936290</v>
      </c>
      <c r="C25" s="308">
        <f>B25/'- 7 -'!F25</f>
        <v>734.5115922950863</v>
      </c>
      <c r="D25" s="281">
        <f t="shared" si="0"/>
        <v>4.9062692347033074</v>
      </c>
      <c r="E25" s="308">
        <f>I25/'- 7 -'!F25</f>
        <v>149.70878220455094</v>
      </c>
      <c r="F25" s="308">
        <f>'- 32 -'!F25</f>
        <v>539125</v>
      </c>
      <c r="G25" s="281">
        <f t="shared" si="1"/>
        <v>0.24186377657865885</v>
      </c>
      <c r="I25">
        <v>2229044</v>
      </c>
    </row>
    <row r="26" spans="1:9" ht="13.5" customHeight="1">
      <c r="A26" s="388" t="s">
        <v>341</v>
      </c>
      <c r="B26" s="309">
        <f>'- 32 -'!D26</f>
        <v>2846629.85</v>
      </c>
      <c r="C26" s="309">
        <f>B26/'- 7 -'!F26</f>
        <v>849.7402537313433</v>
      </c>
      <c r="D26" s="282">
        <f t="shared" si="0"/>
        <v>3.1747249775275637</v>
      </c>
      <c r="E26" s="309">
        <f>I26/'- 7 -'!F26</f>
        <v>267.6579104477612</v>
      </c>
      <c r="F26" s="309">
        <f>'- 32 -'!F26</f>
        <v>164237.35</v>
      </c>
      <c r="G26" s="282">
        <f t="shared" si="1"/>
        <v>0.1831669183430844</v>
      </c>
      <c r="I26">
        <v>896654</v>
      </c>
    </row>
    <row r="27" spans="1:9" ht="13.5" customHeight="1">
      <c r="A27" s="387" t="s">
        <v>342</v>
      </c>
      <c r="B27" s="308">
        <f>'- 32 -'!D27</f>
        <v>2812326</v>
      </c>
      <c r="C27" s="308">
        <f>B27/'- 7 -'!F27</f>
        <v>847.5201157219059</v>
      </c>
      <c r="D27" s="281">
        <f t="shared" si="0"/>
        <v>6.10022558674244</v>
      </c>
      <c r="E27" s="308">
        <f>I27/'- 7 -'!F27</f>
        <v>138.93258596269175</v>
      </c>
      <c r="F27" s="308">
        <f>'- 32 -'!F27</f>
        <v>211172</v>
      </c>
      <c r="G27" s="281">
        <f t="shared" si="1"/>
        <v>0.45805388052579066</v>
      </c>
      <c r="I27">
        <v>461020</v>
      </c>
    </row>
    <row r="28" spans="1:9" ht="13.5" customHeight="1">
      <c r="A28" s="388" t="s">
        <v>343</v>
      </c>
      <c r="B28" s="309">
        <f>'- 32 -'!D28</f>
        <v>1598379</v>
      </c>
      <c r="C28" s="309">
        <f>B28/'- 7 -'!F28</f>
        <v>746.4874836540258</v>
      </c>
      <c r="D28" s="282">
        <f t="shared" si="0"/>
        <v>3.9987066075592157</v>
      </c>
      <c r="E28" s="309">
        <f>I28/'- 7 -'!F28</f>
        <v>186.682234261162</v>
      </c>
      <c r="F28" s="309">
        <f>'- 32 -'!F28</f>
        <v>82341</v>
      </c>
      <c r="G28" s="282">
        <f t="shared" si="1"/>
        <v>0.20599463629904635</v>
      </c>
      <c r="I28">
        <v>399724</v>
      </c>
    </row>
    <row r="29" spans="1:9" ht="13.5" customHeight="1">
      <c r="A29" s="387" t="s">
        <v>344</v>
      </c>
      <c r="B29" s="308">
        <f>'- 32 -'!D29</f>
        <v>8492362</v>
      </c>
      <c r="C29" s="308">
        <f>B29/'- 7 -'!F29</f>
        <v>649.3674060820163</v>
      </c>
      <c r="D29" s="281">
        <f t="shared" si="0"/>
        <v>5.0198503803148915</v>
      </c>
      <c r="E29" s="308">
        <f>I29/'- 7 -'!F29</f>
        <v>129.35991252418202</v>
      </c>
      <c r="F29" s="308">
        <f>'- 32 -'!F29</f>
        <v>854689</v>
      </c>
      <c r="G29" s="281">
        <f t="shared" si="1"/>
        <v>0.5052081978725065</v>
      </c>
      <c r="I29">
        <v>1691756</v>
      </c>
    </row>
    <row r="30" spans="1:9" ht="13.5" customHeight="1">
      <c r="A30" s="388" t="s">
        <v>345</v>
      </c>
      <c r="B30" s="309">
        <f>'- 32 -'!D30</f>
        <v>788261</v>
      </c>
      <c r="C30" s="309">
        <f>B30/'- 7 -'!F30</f>
        <v>614.5805395290816</v>
      </c>
      <c r="D30" s="282">
        <f t="shared" si="0"/>
        <v>3.7720349324081828</v>
      </c>
      <c r="E30" s="309">
        <f>I30/'- 7 -'!F30</f>
        <v>162.93076563230937</v>
      </c>
      <c r="F30" s="309">
        <f>'- 32 -'!F30</f>
        <v>141656</v>
      </c>
      <c r="G30" s="282">
        <f t="shared" si="1"/>
        <v>0.677860988156478</v>
      </c>
      <c r="I30">
        <v>208975</v>
      </c>
    </row>
    <row r="31" spans="1:9" ht="13.5" customHeight="1">
      <c r="A31" s="387" t="s">
        <v>346</v>
      </c>
      <c r="B31" s="308">
        <f>'- 32 -'!D31</f>
        <v>2583800</v>
      </c>
      <c r="C31" s="308">
        <f>B31/'- 7 -'!F31</f>
        <v>767.7770183936053</v>
      </c>
      <c r="D31" s="281">
        <f t="shared" si="0"/>
        <v>4.126276386098611</v>
      </c>
      <c r="E31" s="308">
        <f>I31/'- 7 -'!F31</f>
        <v>186.07018690755652</v>
      </c>
      <c r="F31" s="308">
        <f>'- 32 -'!F31</f>
        <v>145861</v>
      </c>
      <c r="G31" s="281">
        <f t="shared" si="1"/>
        <v>0.23293706941432363</v>
      </c>
      <c r="I31">
        <v>626182</v>
      </c>
    </row>
    <row r="32" spans="1:9" ht="13.5" customHeight="1">
      <c r="A32" s="388" t="s">
        <v>347</v>
      </c>
      <c r="B32" s="309">
        <f>'- 32 -'!D32</f>
        <v>1527268</v>
      </c>
      <c r="C32" s="309">
        <f>B32/'- 7 -'!F32</f>
        <v>649.9012765957447</v>
      </c>
      <c r="D32" s="282">
        <f t="shared" si="0"/>
        <v>3.83164782121111</v>
      </c>
      <c r="E32" s="309">
        <f>I32/'- 7 -'!F32</f>
        <v>169.6140425531915</v>
      </c>
      <c r="F32" s="309">
        <f>'- 32 -'!F32</f>
        <v>197408</v>
      </c>
      <c r="G32" s="282">
        <f t="shared" si="1"/>
        <v>0.495262084381813</v>
      </c>
      <c r="I32">
        <v>398593</v>
      </c>
    </row>
    <row r="33" spans="1:9" ht="13.5" customHeight="1">
      <c r="A33" s="387" t="s">
        <v>348</v>
      </c>
      <c r="B33" s="308">
        <f>'- 32 -'!D33</f>
        <v>2006152</v>
      </c>
      <c r="C33" s="308">
        <f>B33/'- 7 -'!F33</f>
        <v>804.6817215514822</v>
      </c>
      <c r="D33" s="281">
        <f t="shared" si="0"/>
        <v>3.9890399191912764</v>
      </c>
      <c r="E33" s="308">
        <f>I33/'- 7 -'!F33</f>
        <v>201.72315591031247</v>
      </c>
      <c r="F33" s="308">
        <f>'- 32 -'!F33</f>
        <v>145992</v>
      </c>
      <c r="G33" s="281">
        <f t="shared" si="1"/>
        <v>0.2902910227552911</v>
      </c>
      <c r="I33">
        <v>502916</v>
      </c>
    </row>
    <row r="34" spans="1:9" ht="13.5" customHeight="1">
      <c r="A34" s="388" t="s">
        <v>349</v>
      </c>
      <c r="B34" s="309">
        <f>'- 32 -'!D34</f>
        <v>1318604.26</v>
      </c>
      <c r="C34" s="309">
        <f>B34/'- 7 -'!F34</f>
        <v>596.1140415913201</v>
      </c>
      <c r="D34" s="282">
        <f t="shared" si="0"/>
        <v>3.636886894451738</v>
      </c>
      <c r="E34" s="309">
        <f>I34/'- 7 -'!F34</f>
        <v>163.90777576853526</v>
      </c>
      <c r="F34" s="309">
        <f>'- 32 -'!F34</f>
        <v>102217.1</v>
      </c>
      <c r="G34" s="282">
        <f t="shared" si="1"/>
        <v>0.2819284319458082</v>
      </c>
      <c r="I34">
        <v>362564</v>
      </c>
    </row>
    <row r="35" spans="1:9" ht="13.5" customHeight="1">
      <c r="A35" s="387" t="s">
        <v>350</v>
      </c>
      <c r="B35" s="308">
        <f>'- 32 -'!D35</f>
        <v>11385741</v>
      </c>
      <c r="C35" s="308">
        <f>B35/'- 7 -'!F35</f>
        <v>639.0129477990986</v>
      </c>
      <c r="D35" s="281">
        <f t="shared" si="0"/>
        <v>4.681363588145758</v>
      </c>
      <c r="E35" s="308">
        <f>I35/'- 7 -'!F35</f>
        <v>136.5014564169337</v>
      </c>
      <c r="F35" s="308">
        <f>'- 32 -'!F35</f>
        <v>523403</v>
      </c>
      <c r="G35" s="281">
        <f t="shared" si="1"/>
        <v>0.2152024840654863</v>
      </c>
      <c r="I35">
        <v>2432142</v>
      </c>
    </row>
    <row r="36" spans="1:9" ht="13.5" customHeight="1">
      <c r="A36" s="388" t="s">
        <v>351</v>
      </c>
      <c r="B36" s="309">
        <f>'- 32 -'!D36</f>
        <v>1561037</v>
      </c>
      <c r="C36" s="309">
        <f>B36/'- 7 -'!F36</f>
        <v>734.9515065913371</v>
      </c>
      <c r="D36" s="282">
        <f t="shared" si="0"/>
        <v>4.634839150250145</v>
      </c>
      <c r="E36" s="309">
        <f>I36/'- 7 -'!F36</f>
        <v>158.5710922787194</v>
      </c>
      <c r="F36" s="309">
        <f>'- 32 -'!F36</f>
        <v>146382</v>
      </c>
      <c r="G36" s="282">
        <f t="shared" si="1"/>
        <v>0.4346194385475275</v>
      </c>
      <c r="I36">
        <v>336805</v>
      </c>
    </row>
    <row r="37" spans="1:9" ht="13.5" customHeight="1">
      <c r="A37" s="387" t="s">
        <v>352</v>
      </c>
      <c r="B37" s="308">
        <f>'- 32 -'!D37</f>
        <v>2300763</v>
      </c>
      <c r="C37" s="308">
        <f>B37/'- 7 -'!F37</f>
        <v>680.6789739948522</v>
      </c>
      <c r="D37" s="281">
        <f t="shared" si="0"/>
        <v>4.317981431330267</v>
      </c>
      <c r="E37" s="308">
        <f>I37/'- 7 -'!F37</f>
        <v>157.6382355551611</v>
      </c>
      <c r="F37" s="308">
        <f>'- 32 -'!F37</f>
        <v>233282</v>
      </c>
      <c r="G37" s="281">
        <f t="shared" si="1"/>
        <v>0.43781447470408175</v>
      </c>
      <c r="I37">
        <v>532833</v>
      </c>
    </row>
    <row r="38" spans="1:9" ht="13.5" customHeight="1">
      <c r="A38" s="388" t="s">
        <v>353</v>
      </c>
      <c r="B38" s="309">
        <f>'- 32 -'!D38</f>
        <v>6050251</v>
      </c>
      <c r="C38" s="309">
        <f>B38/'- 7 -'!F38</f>
        <v>709.8317592538276</v>
      </c>
      <c r="D38" s="282">
        <f t="shared" si="0"/>
        <v>5.559957286596096</v>
      </c>
      <c r="E38" s="309">
        <f>I38/'- 7 -'!F38</f>
        <v>127.66856338358656</v>
      </c>
      <c r="F38" s="309">
        <f>'- 32 -'!F38</f>
        <v>482746</v>
      </c>
      <c r="G38" s="282">
        <f t="shared" si="1"/>
        <v>0.4436257504482242</v>
      </c>
      <c r="I38">
        <v>1088183</v>
      </c>
    </row>
    <row r="39" spans="1:9" ht="13.5" customHeight="1">
      <c r="A39" s="387" t="s">
        <v>354</v>
      </c>
      <c r="B39" s="308">
        <f>'- 32 -'!D39</f>
        <v>1246616</v>
      </c>
      <c r="C39" s="308">
        <f>B39/'- 7 -'!F39</f>
        <v>689.1188501934771</v>
      </c>
      <c r="D39" s="281">
        <f t="shared" si="0"/>
        <v>3.8718870936682754</v>
      </c>
      <c r="E39" s="308">
        <f>I39/'- 7 -'!F39</f>
        <v>177.98009950248758</v>
      </c>
      <c r="F39" s="308">
        <f>'- 32 -'!F39</f>
        <v>313981</v>
      </c>
      <c r="G39" s="281">
        <f t="shared" si="1"/>
        <v>0.9751992446407385</v>
      </c>
      <c r="I39">
        <v>321966</v>
      </c>
    </row>
    <row r="40" spans="1:9" ht="13.5" customHeight="1">
      <c r="A40" s="388" t="s">
        <v>355</v>
      </c>
      <c r="B40" s="309">
        <f>'- 32 -'!D40</f>
        <v>5549237</v>
      </c>
      <c r="C40" s="309">
        <f>B40/'- 7 -'!F40</f>
        <v>608.5123391469788</v>
      </c>
      <c r="D40" s="282">
        <f t="shared" si="0"/>
        <v>3.7426692610415495</v>
      </c>
      <c r="E40" s="309">
        <f>I40/'- 7 -'!F40</f>
        <v>162.58779408620134</v>
      </c>
      <c r="F40" s="309">
        <f>'- 32 -'!F40</f>
        <v>785715</v>
      </c>
      <c r="G40" s="282">
        <f t="shared" si="1"/>
        <v>0.5299235513709832</v>
      </c>
      <c r="I40">
        <v>1482695</v>
      </c>
    </row>
    <row r="41" spans="1:9" ht="13.5" customHeight="1">
      <c r="A41" s="387" t="s">
        <v>356</v>
      </c>
      <c r="B41" s="308">
        <f>'- 32 -'!D41</f>
        <v>2822763</v>
      </c>
      <c r="C41" s="308">
        <f>B41/'- 7 -'!F41</f>
        <v>574.2225070181862</v>
      </c>
      <c r="D41" s="281">
        <f t="shared" si="0"/>
        <v>4.1565561447245</v>
      </c>
      <c r="E41" s="308">
        <f>I41/'- 7 -'!F41</f>
        <v>138.1486228080882</v>
      </c>
      <c r="F41" s="308">
        <f>'- 32 -'!F41</f>
        <v>190969</v>
      </c>
      <c r="G41" s="281">
        <f t="shared" si="1"/>
        <v>0.28120439810281384</v>
      </c>
      <c r="I41">
        <v>679111</v>
      </c>
    </row>
    <row r="42" spans="1:9" ht="13.5" customHeight="1">
      <c r="A42" s="388" t="s">
        <v>357</v>
      </c>
      <c r="B42" s="309">
        <f>'- 32 -'!D42</f>
        <v>1399677</v>
      </c>
      <c r="C42" s="309">
        <f>B42/'- 7 -'!F42</f>
        <v>744.3902568739031</v>
      </c>
      <c r="D42" s="282">
        <f t="shared" si="0"/>
        <v>4.166250937622784</v>
      </c>
      <c r="E42" s="309">
        <f>I42/'- 7 -'!F42</f>
        <v>178.67148859224594</v>
      </c>
      <c r="F42" s="309">
        <f>'- 32 -'!F42</f>
        <v>77931</v>
      </c>
      <c r="G42" s="282">
        <f t="shared" si="1"/>
        <v>0.23196787674576433</v>
      </c>
      <c r="I42">
        <v>335956</v>
      </c>
    </row>
    <row r="43" spans="1:9" ht="13.5" customHeight="1">
      <c r="A43" s="387" t="s">
        <v>358</v>
      </c>
      <c r="B43" s="308">
        <f>'- 32 -'!D43</f>
        <v>729856</v>
      </c>
      <c r="C43" s="308">
        <f>B43/'- 7 -'!F43</f>
        <v>598.7333880229696</v>
      </c>
      <c r="D43" s="281">
        <f>B43/I43</f>
        <v>3.8735179543790004</v>
      </c>
      <c r="E43" s="308">
        <f>I43/'- 7 -'!F43</f>
        <v>154.57095980311732</v>
      </c>
      <c r="F43" s="308">
        <f>'- 32 -'!F43</f>
        <v>62149</v>
      </c>
      <c r="G43" s="281">
        <f>F43/I43</f>
        <v>0.3298394030421076</v>
      </c>
      <c r="I43">
        <v>188422</v>
      </c>
    </row>
    <row r="44" spans="1:9" ht="13.5" customHeight="1">
      <c r="A44" s="388" t="s">
        <v>359</v>
      </c>
      <c r="B44" s="309">
        <f>'- 32 -'!D44</f>
        <v>646161</v>
      </c>
      <c r="C44" s="309">
        <f>B44/'- 7 -'!F44</f>
        <v>789.4453268173488</v>
      </c>
      <c r="D44" s="282">
        <f>B44/I44</f>
        <v>3.2791894401900037</v>
      </c>
      <c r="E44" s="309">
        <f>I44/'- 7 -'!F44</f>
        <v>240.74404398289553</v>
      </c>
      <c r="F44" s="309">
        <f>'- 32 -'!F44</f>
        <v>55007</v>
      </c>
      <c r="G44" s="282">
        <f>F44/I44</f>
        <v>0.27915391603103795</v>
      </c>
      <c r="I44">
        <v>197049</v>
      </c>
    </row>
    <row r="45" spans="1:9" ht="13.5" customHeight="1">
      <c r="A45" s="387" t="s">
        <v>360</v>
      </c>
      <c r="B45" s="308">
        <f>'- 32 -'!D45</f>
        <v>828129</v>
      </c>
      <c r="C45" s="308">
        <f>B45/'- 7 -'!F45</f>
        <v>567.9897119341564</v>
      </c>
      <c r="D45" s="281">
        <f>B45/I45</f>
        <v>4.576334970905012</v>
      </c>
      <c r="E45" s="308">
        <f>I45/'- 7 -'!F45</f>
        <v>124.11454046639231</v>
      </c>
      <c r="F45" s="308">
        <f>'- 32 -'!F45</f>
        <v>75408</v>
      </c>
      <c r="G45" s="281">
        <f>F45/I45</f>
        <v>0.4167131781232213</v>
      </c>
      <c r="I45">
        <v>180959</v>
      </c>
    </row>
    <row r="46" spans="1:9" ht="13.5" customHeight="1">
      <c r="A46" s="388" t="s">
        <v>361</v>
      </c>
      <c r="B46" s="309">
        <f>'- 32 -'!D46</f>
        <v>22974264</v>
      </c>
      <c r="C46" s="309">
        <f>B46/'- 7 -'!F46</f>
        <v>745.3610615449502</v>
      </c>
      <c r="D46" s="282">
        <f>B46/I46</f>
        <v>4.686088124123816</v>
      </c>
      <c r="E46" s="309">
        <f>I46/'- 7 -'!F46</f>
        <v>159.05826817636182</v>
      </c>
      <c r="F46" s="309">
        <f>'- 32 -'!F46</f>
        <v>7670175</v>
      </c>
      <c r="G46" s="282">
        <f>F46/I46</f>
        <v>1.5644947745638942</v>
      </c>
      <c r="I46">
        <v>4902653</v>
      </c>
    </row>
    <row r="47" spans="1:9" ht="13.5" customHeight="1">
      <c r="A47" s="387" t="s">
        <v>365</v>
      </c>
      <c r="B47" s="308">
        <f>'- 32 -'!D47</f>
        <v>543348</v>
      </c>
      <c r="C47" s="308">
        <f>B47/'- 7 -'!F47</f>
        <v>880.9429618340414</v>
      </c>
      <c r="D47" s="281">
        <f>B47/I47</f>
        <v>4.321546170365068</v>
      </c>
      <c r="E47" s="308">
        <f>I47/'- 7 -'!F47</f>
        <v>203.84902234183988</v>
      </c>
      <c r="F47" s="308">
        <f>'- 32 -'!F47</f>
        <v>28309</v>
      </c>
      <c r="G47" s="281">
        <f>F47/I47</f>
        <v>0.2251570826373976</v>
      </c>
      <c r="I47">
        <v>125730</v>
      </c>
    </row>
    <row r="48" spans="1:9" ht="4.5" customHeight="1">
      <c r="A48" s="389"/>
      <c r="B48" s="310"/>
      <c r="C48" s="310"/>
      <c r="D48" s="283"/>
      <c r="E48" s="310"/>
      <c r="F48" s="310"/>
      <c r="G48" s="283"/>
      <c r="I48" s="3"/>
    </row>
    <row r="49" spans="1:9" ht="13.5" customHeight="1">
      <c r="A49" s="383" t="s">
        <v>362</v>
      </c>
      <c r="B49" s="311">
        <f>SUM(B11:B47)</f>
        <v>128863132.17</v>
      </c>
      <c r="C49" s="311">
        <f>B49/'- 7 -'!F49</f>
        <v>719.2848105487482</v>
      </c>
      <c r="D49" s="284">
        <f>B49/I49</f>
        <v>4.647751895645899</v>
      </c>
      <c r="E49" s="311">
        <f>I49/'- 7 -'!F49</f>
        <v>154.75972614256534</v>
      </c>
      <c r="F49" s="311">
        <f>SUM(F11:F47)</f>
        <v>16461127.45</v>
      </c>
      <c r="G49" s="284">
        <f>F49/I49</f>
        <v>0.5937092713940529</v>
      </c>
      <c r="I49">
        <f>SUM(I11:I47)</f>
        <v>27725906</v>
      </c>
    </row>
    <row r="50" spans="1:9" ht="4.5" customHeight="1">
      <c r="A50" s="389" t="s">
        <v>15</v>
      </c>
      <c r="B50" s="310"/>
      <c r="C50" s="310"/>
      <c r="D50" s="283"/>
      <c r="E50" s="310"/>
      <c r="F50" s="310"/>
      <c r="G50" s="283"/>
      <c r="I50" s="3"/>
    </row>
    <row r="51" spans="1:9" ht="13.5" customHeight="1">
      <c r="A51" s="388" t="s">
        <v>363</v>
      </c>
      <c r="B51" s="309">
        <f>'- 32 -'!D51</f>
        <v>133082</v>
      </c>
      <c r="C51" s="309">
        <f>B51/'- 7 -'!F51</f>
        <v>869.8169934640523</v>
      </c>
      <c r="D51" s="286" t="s">
        <v>240</v>
      </c>
      <c r="E51" s="427" t="s">
        <v>240</v>
      </c>
      <c r="F51" s="309">
        <f>'- 32 -'!F51</f>
        <v>40778</v>
      </c>
      <c r="G51" s="286" t="s">
        <v>240</v>
      </c>
      <c r="I51" s="258" t="s">
        <v>126</v>
      </c>
    </row>
    <row r="52" spans="1:9" ht="13.5" customHeight="1">
      <c r="A52" s="387" t="s">
        <v>364</v>
      </c>
      <c r="B52" s="308">
        <f>'- 32 -'!D52</f>
        <v>323300</v>
      </c>
      <c r="C52" s="308">
        <f>B52/'- 7 -'!F52</f>
        <v>1184.2490842490843</v>
      </c>
      <c r="D52" s="287" t="s">
        <v>240</v>
      </c>
      <c r="E52" s="426" t="s">
        <v>240</v>
      </c>
      <c r="F52" s="308">
        <f>'- 32 -'!F52</f>
        <v>0</v>
      </c>
      <c r="G52" s="287" t="s">
        <v>240</v>
      </c>
      <c r="I52" s="258" t="s">
        <v>126</v>
      </c>
    </row>
    <row r="53" spans="1:7" ht="49.5" customHeight="1">
      <c r="A53" s="324"/>
      <c r="B53" s="324"/>
      <c r="C53" s="324"/>
      <c r="D53" s="324"/>
      <c r="E53" s="324"/>
      <c r="F53" s="324"/>
      <c r="G53" s="324"/>
    </row>
    <row r="54" spans="1:6" ht="15" customHeight="1">
      <c r="A54" s="202" t="s">
        <v>439</v>
      </c>
      <c r="B54" s="9"/>
      <c r="C54" s="9"/>
      <c r="D54" s="9"/>
      <c r="E54" s="9"/>
      <c r="F54" s="9"/>
    </row>
    <row r="55" spans="1:6" ht="14.25" customHeight="1">
      <c r="A55" s="202" t="s">
        <v>440</v>
      </c>
      <c r="B55" s="9"/>
      <c r="C55" s="9"/>
      <c r="D55" s="9"/>
      <c r="E55" s="9"/>
      <c r="F55" s="9"/>
    </row>
    <row r="56" spans="1:6" ht="12" customHeight="1">
      <c r="A56" s="3"/>
      <c r="B56" s="9"/>
      <c r="C56" s="9"/>
      <c r="D56" s="9"/>
      <c r="E56" s="9"/>
      <c r="F56" s="9"/>
    </row>
    <row r="57" spans="1:6" ht="12" customHeight="1">
      <c r="A57" s="3"/>
      <c r="B57" s="9"/>
      <c r="C57" s="9"/>
      <c r="D57" s="9"/>
      <c r="E57" s="9"/>
      <c r="F57" s="9"/>
    </row>
    <row r="58" ht="12" customHeight="1"/>
    <row r="59" ht="12" customHeight="1"/>
    <row r="60"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5"/>
  <sheetViews>
    <sheetView showGridLines="0" showZeros="0" workbookViewId="0" topLeftCell="A1">
      <selection activeCell="A1" sqref="A1"/>
    </sheetView>
  </sheetViews>
  <sheetFormatPr defaultColWidth="15.83203125" defaultRowHeight="12"/>
  <cols>
    <col min="1" max="1" width="31.83203125" style="67" customWidth="1"/>
    <col min="2" max="2" width="15.83203125" style="67" customWidth="1"/>
    <col min="3" max="3" width="8.83203125" style="67" customWidth="1"/>
    <col min="4" max="4" width="9.83203125" style="67" customWidth="1"/>
    <col min="5" max="5" width="15.83203125" style="67" customWidth="1"/>
    <col min="6" max="6" width="8.83203125" style="67" customWidth="1"/>
    <col min="7" max="7" width="9.83203125" style="67" customWidth="1"/>
    <col min="8" max="8" width="15.83203125" style="67" customWidth="1"/>
    <col min="9" max="9" width="8.83203125" style="67" customWidth="1"/>
    <col min="10" max="10" width="9.83203125" style="67" customWidth="1"/>
    <col min="11" max="16384" width="15.83203125" style="67" customWidth="1"/>
  </cols>
  <sheetData>
    <row r="1" spans="1:10" ht="6.75" customHeight="1">
      <c r="A1" s="65"/>
      <c r="B1" s="116"/>
      <c r="C1" s="116"/>
      <c r="D1" s="116"/>
      <c r="E1" s="116"/>
      <c r="F1" s="116"/>
      <c r="G1" s="116"/>
      <c r="H1" s="116"/>
      <c r="I1" s="116"/>
      <c r="J1" s="116"/>
    </row>
    <row r="2" spans="1:10" ht="15.75" customHeight="1">
      <c r="A2" s="333"/>
      <c r="B2" s="360" t="s">
        <v>225</v>
      </c>
      <c r="C2" s="164"/>
      <c r="D2" s="164"/>
      <c r="E2" s="164"/>
      <c r="F2" s="164"/>
      <c r="G2" s="164"/>
      <c r="H2" s="178"/>
      <c r="I2" s="193"/>
      <c r="J2" s="181"/>
    </row>
    <row r="3" spans="1:10" ht="15.75" customHeight="1">
      <c r="A3" s="334"/>
      <c r="B3" s="456" t="str">
        <f>OPYEAR</f>
        <v>OPERATING FUND 2002/2003 ACTUAL</v>
      </c>
      <c r="C3" s="167"/>
      <c r="D3" s="167"/>
      <c r="E3" s="167"/>
      <c r="F3" s="167"/>
      <c r="G3" s="167"/>
      <c r="H3" s="179"/>
      <c r="I3" s="179"/>
      <c r="J3" s="182"/>
    </row>
    <row r="4" spans="2:10" ht="15.75" customHeight="1">
      <c r="B4" s="116"/>
      <c r="C4" s="116"/>
      <c r="D4" s="116"/>
      <c r="E4" s="116"/>
      <c r="F4" s="116"/>
      <c r="G4" s="116"/>
      <c r="H4" s="116"/>
      <c r="I4" s="116"/>
      <c r="J4" s="116"/>
    </row>
    <row r="5" ht="13.5" customHeight="1"/>
    <row r="6" spans="2:10" ht="18" customHeight="1">
      <c r="B6" s="301" t="s">
        <v>373</v>
      </c>
      <c r="C6" s="273"/>
      <c r="D6" s="274"/>
      <c r="E6" s="274"/>
      <c r="F6" s="274"/>
      <c r="G6" s="274"/>
      <c r="H6" s="274"/>
      <c r="I6" s="274"/>
      <c r="J6" s="275"/>
    </row>
    <row r="7" spans="2:10" ht="15.75" customHeight="1">
      <c r="B7" s="54" t="s">
        <v>200</v>
      </c>
      <c r="C7" s="55"/>
      <c r="D7" s="56"/>
      <c r="E7" s="54" t="s">
        <v>184</v>
      </c>
      <c r="F7" s="55"/>
      <c r="G7" s="56"/>
      <c r="H7" s="54" t="s">
        <v>190</v>
      </c>
      <c r="I7" s="55"/>
      <c r="J7" s="56"/>
    </row>
    <row r="8" spans="1:10" ht="15.75" customHeight="1">
      <c r="A8" s="313"/>
      <c r="B8" s="58"/>
      <c r="C8" s="190"/>
      <c r="D8" s="191" t="s">
        <v>87</v>
      </c>
      <c r="E8" s="58"/>
      <c r="F8" s="59"/>
      <c r="G8" s="191" t="s">
        <v>87</v>
      </c>
      <c r="H8" s="58"/>
      <c r="I8" s="59"/>
      <c r="J8" s="191" t="s">
        <v>87</v>
      </c>
    </row>
    <row r="9" spans="1:10" ht="15.75" customHeight="1">
      <c r="A9" s="314" t="s">
        <v>112</v>
      </c>
      <c r="B9" s="61" t="s">
        <v>113</v>
      </c>
      <c r="C9" s="61" t="s">
        <v>114</v>
      </c>
      <c r="D9" s="61" t="s">
        <v>115</v>
      </c>
      <c r="E9" s="61" t="s">
        <v>113</v>
      </c>
      <c r="F9" s="61" t="s">
        <v>114</v>
      </c>
      <c r="G9" s="61" t="s">
        <v>115</v>
      </c>
      <c r="H9" s="61" t="s">
        <v>113</v>
      </c>
      <c r="I9" s="61" t="s">
        <v>114</v>
      </c>
      <c r="J9" s="61" t="s">
        <v>115</v>
      </c>
    </row>
    <row r="10" ht="4.5" customHeight="1">
      <c r="A10" s="62"/>
    </row>
    <row r="11" spans="1:10" ht="13.5" customHeight="1">
      <c r="A11" s="387" t="s">
        <v>327</v>
      </c>
      <c r="B11" s="308">
        <v>61123</v>
      </c>
      <c r="C11" s="278">
        <f>B11/'- 3 -'!D11</f>
        <v>0.005471240231437714</v>
      </c>
      <c r="D11" s="308">
        <f>B11/'- 7 -'!F11</f>
        <v>37.67211093990755</v>
      </c>
      <c r="E11" s="308">
        <v>33140</v>
      </c>
      <c r="F11" s="278">
        <f>E11/'- 3 -'!D11</f>
        <v>0.0029664267341237478</v>
      </c>
      <c r="G11" s="308">
        <f>E11/'- 7 -'!F11</f>
        <v>20.42526964560863</v>
      </c>
      <c r="H11" s="308">
        <v>173921</v>
      </c>
      <c r="I11" s="278">
        <f>H11/'- 3 -'!D11</f>
        <v>0.015568011587976353</v>
      </c>
      <c r="J11" s="308">
        <f>H11/'- 7 -'!F11</f>
        <v>107.19322033898305</v>
      </c>
    </row>
    <row r="12" spans="1:10" ht="13.5" customHeight="1">
      <c r="A12" s="388" t="s">
        <v>328</v>
      </c>
      <c r="B12" s="309">
        <v>111029</v>
      </c>
      <c r="C12" s="279">
        <f>B12/'- 3 -'!D12</f>
        <v>0.00604846837215799</v>
      </c>
      <c r="D12" s="309">
        <f>B12/'- 7 -'!F12</f>
        <v>47.248393548661646</v>
      </c>
      <c r="E12" s="309">
        <v>22481</v>
      </c>
      <c r="F12" s="279">
        <f>E12/'- 3 -'!D12</f>
        <v>0.0012246855999287012</v>
      </c>
      <c r="G12" s="309">
        <f>E12/'- 7 -'!F12</f>
        <v>9.566790076173454</v>
      </c>
      <c r="H12" s="309">
        <v>184171</v>
      </c>
      <c r="I12" s="279">
        <f>H12/'- 3 -'!D12</f>
        <v>0.010032986594211504</v>
      </c>
      <c r="J12" s="309">
        <f>H12/'- 7 -'!F12</f>
        <v>78.37397336056853</v>
      </c>
    </row>
    <row r="13" spans="1:10" ht="13.5" customHeight="1">
      <c r="A13" s="387" t="s">
        <v>329</v>
      </c>
      <c r="B13" s="308">
        <v>183915</v>
      </c>
      <c r="C13" s="278">
        <f>B13/'- 3 -'!D13</f>
        <v>0.003952435045126078</v>
      </c>
      <c r="D13" s="308">
        <f>B13/'- 7 -'!F13</f>
        <v>25.218017276840808</v>
      </c>
      <c r="E13" s="308">
        <v>119247</v>
      </c>
      <c r="F13" s="278">
        <f>E13/'- 3 -'!D13</f>
        <v>0.002562683967192178</v>
      </c>
      <c r="G13" s="308">
        <f>E13/'- 7 -'!F13</f>
        <v>16.350884409707938</v>
      </c>
      <c r="H13" s="308">
        <v>552677</v>
      </c>
      <c r="I13" s="278">
        <f>H13/'- 3 -'!D13</f>
        <v>0.011877334330724222</v>
      </c>
      <c r="J13" s="308">
        <f>H13/'- 7 -'!F13</f>
        <v>75.78184560537501</v>
      </c>
    </row>
    <row r="14" spans="1:10" ht="13.5" customHeight="1">
      <c r="A14" s="388" t="s">
        <v>366</v>
      </c>
      <c r="B14" s="309">
        <v>152911</v>
      </c>
      <c r="C14" s="279">
        <f>B14/'- 3 -'!D14</f>
        <v>0.003873005165898082</v>
      </c>
      <c r="D14" s="309">
        <f>B14/'- 7 -'!F14</f>
        <v>35.73354832679006</v>
      </c>
      <c r="E14" s="309">
        <v>111341</v>
      </c>
      <c r="F14" s="279">
        <f>E14/'- 3 -'!D14</f>
        <v>0.0028200997192893798</v>
      </c>
      <c r="G14" s="309">
        <f>E14/'- 7 -'!F14</f>
        <v>26.019115722564965</v>
      </c>
      <c r="H14" s="309">
        <v>530194</v>
      </c>
      <c r="I14" s="279">
        <f>H14/'- 3 -'!D14</f>
        <v>0.01342901492324403</v>
      </c>
      <c r="J14" s="309">
        <f>H14/'- 7 -'!F14</f>
        <v>123.9002617311647</v>
      </c>
    </row>
    <row r="15" spans="1:10" ht="13.5" customHeight="1">
      <c r="A15" s="387" t="s">
        <v>330</v>
      </c>
      <c r="B15" s="308">
        <v>36951</v>
      </c>
      <c r="C15" s="278">
        <f>B15/'- 3 -'!D15</f>
        <v>0.0029429998958230125</v>
      </c>
      <c r="D15" s="308">
        <f>B15/'- 7 -'!F15</f>
        <v>21.916370106761565</v>
      </c>
      <c r="E15" s="308">
        <v>22600</v>
      </c>
      <c r="F15" s="278">
        <f>E15/'- 3 -'!D15</f>
        <v>0.0017999999362831882</v>
      </c>
      <c r="G15" s="308">
        <f>E15/'- 7 -'!F15</f>
        <v>13.404507710557533</v>
      </c>
      <c r="H15" s="308">
        <v>390620</v>
      </c>
      <c r="I15" s="278">
        <f>H15/'- 3 -'!D15</f>
        <v>0.03111132633234243</v>
      </c>
      <c r="J15" s="308">
        <f>H15/'- 7 -'!F15</f>
        <v>231.6844602609727</v>
      </c>
    </row>
    <row r="16" spans="1:10" ht="13.5" customHeight="1">
      <c r="A16" s="388" t="s">
        <v>331</v>
      </c>
      <c r="B16" s="309">
        <v>82216</v>
      </c>
      <c r="C16" s="279">
        <f>B16/'- 3 -'!D16</f>
        <v>0.007623994700222036</v>
      </c>
      <c r="D16" s="309">
        <f>B16/'- 7 -'!F16</f>
        <v>58.345634154649716</v>
      </c>
      <c r="E16" s="309">
        <v>28971</v>
      </c>
      <c r="F16" s="279">
        <f>E16/'- 3 -'!D16</f>
        <v>0.0026865178366757394</v>
      </c>
      <c r="G16" s="309">
        <f>E16/'- 7 -'!F16</f>
        <v>20.559640059043943</v>
      </c>
      <c r="H16" s="309">
        <v>148387</v>
      </c>
      <c r="I16" s="279">
        <f>H16/'- 3 -'!D16</f>
        <v>0.013760116055048253</v>
      </c>
      <c r="J16" s="309">
        <f>H16/'- 7 -'!F16</f>
        <v>105.30472919268765</v>
      </c>
    </row>
    <row r="17" spans="1:10" ht="13.5" customHeight="1">
      <c r="A17" s="387" t="s">
        <v>332</v>
      </c>
      <c r="B17" s="308">
        <v>72032</v>
      </c>
      <c r="C17" s="278">
        <f>B17/'- 3 -'!D17</f>
        <v>0.005852131317433115</v>
      </c>
      <c r="D17" s="308">
        <f>B17/'- 7 -'!F17</f>
        <v>45.86039167749</v>
      </c>
      <c r="E17" s="308">
        <v>28988</v>
      </c>
      <c r="F17" s="278">
        <f>E17/'- 3 -'!D17</f>
        <v>0.0023550863870189795</v>
      </c>
      <c r="G17" s="308">
        <f>E17/'- 7 -'!F17</f>
        <v>18.45570071561362</v>
      </c>
      <c r="H17" s="308">
        <v>212053</v>
      </c>
      <c r="I17" s="278">
        <f>H17/'- 3 -'!D17</f>
        <v>0.017227926508435756</v>
      </c>
      <c r="J17" s="308">
        <f>H17/'- 7 -'!F17</f>
        <v>135.00713066951892</v>
      </c>
    </row>
    <row r="18" spans="1:10" ht="13.5" customHeight="1">
      <c r="A18" s="388" t="s">
        <v>333</v>
      </c>
      <c r="B18" s="309">
        <v>419235</v>
      </c>
      <c r="C18" s="279">
        <f>B18/'- 3 -'!D18</f>
        <v>0.005796134383052777</v>
      </c>
      <c r="D18" s="309">
        <f>B18/'- 7 -'!F18</f>
        <v>70.70922583909596</v>
      </c>
      <c r="E18" s="309">
        <v>123031.29</v>
      </c>
      <c r="F18" s="279">
        <f>E18/'- 3 -'!D18</f>
        <v>0.001700969361242113</v>
      </c>
      <c r="G18" s="309">
        <f>E18/'- 7 -'!F18</f>
        <v>20.750765727778713</v>
      </c>
      <c r="H18" s="309">
        <v>797944.98</v>
      </c>
      <c r="I18" s="279">
        <f>H18/'- 3 -'!D18</f>
        <v>0.011031990016010972</v>
      </c>
      <c r="J18" s="309">
        <f>H18/'- 7 -'!F18</f>
        <v>134.58340023612752</v>
      </c>
    </row>
    <row r="19" spans="1:10" ht="13.5" customHeight="1">
      <c r="A19" s="387" t="s">
        <v>334</v>
      </c>
      <c r="B19" s="308">
        <v>76658</v>
      </c>
      <c r="C19" s="278">
        <f>B19/'- 3 -'!D19</f>
        <v>0.004335705722670032</v>
      </c>
      <c r="D19" s="308">
        <f>B19/'- 7 -'!F19</f>
        <v>26.1872715471595</v>
      </c>
      <c r="E19" s="308">
        <v>22113</v>
      </c>
      <c r="F19" s="278">
        <f>E19/'- 3 -'!D19</f>
        <v>0.0012506908691252369</v>
      </c>
      <c r="G19" s="308">
        <f>E19/'- 7 -'!F19</f>
        <v>7.5540600553411</v>
      </c>
      <c r="H19" s="308">
        <v>290980</v>
      </c>
      <c r="I19" s="278">
        <f>H19/'- 3 -'!D19</f>
        <v>0.016457560217883662</v>
      </c>
      <c r="J19" s="308">
        <f>H19/'- 7 -'!F19</f>
        <v>99.40217948279985</v>
      </c>
    </row>
    <row r="20" spans="1:10" ht="13.5" customHeight="1">
      <c r="A20" s="388" t="s">
        <v>335</v>
      </c>
      <c r="B20" s="309">
        <v>201410</v>
      </c>
      <c r="C20" s="279">
        <f>B20/'- 3 -'!D20</f>
        <v>0.0060234622242399125</v>
      </c>
      <c r="D20" s="309">
        <f>B20/'- 7 -'!F20</f>
        <v>32.90475412514295</v>
      </c>
      <c r="E20" s="309">
        <v>68812</v>
      </c>
      <c r="F20" s="279">
        <f>E20/'- 3 -'!D20</f>
        <v>0.0020579240483312488</v>
      </c>
      <c r="G20" s="309">
        <f>E20/'- 7 -'!F20</f>
        <v>11.241953929096553</v>
      </c>
      <c r="H20" s="309">
        <v>471790</v>
      </c>
      <c r="I20" s="279">
        <f>H20/'- 3 -'!D20</f>
        <v>0.014109573719150729</v>
      </c>
      <c r="J20" s="309">
        <f>H20/'- 7 -'!F20</f>
        <v>77.0772749550727</v>
      </c>
    </row>
    <row r="21" spans="1:10" ht="13.5" customHeight="1">
      <c r="A21" s="387" t="s">
        <v>336</v>
      </c>
      <c r="B21" s="308">
        <v>83863</v>
      </c>
      <c r="C21" s="278">
        <f>B21/'- 3 -'!D21</f>
        <v>0.0036049370998377105</v>
      </c>
      <c r="D21" s="308">
        <f>B21/'- 7 -'!F21</f>
        <v>25.340847283495496</v>
      </c>
      <c r="E21" s="308">
        <v>26415</v>
      </c>
      <c r="F21" s="278">
        <f>E21/'- 3 -'!D21</f>
        <v>0.001135475877230878</v>
      </c>
      <c r="G21" s="308">
        <f>E21/'- 7 -'!F21</f>
        <v>7.98180939143047</v>
      </c>
      <c r="H21" s="308">
        <v>180632</v>
      </c>
      <c r="I21" s="278">
        <f>H21/'- 3 -'!D21</f>
        <v>0.007764651851446828</v>
      </c>
      <c r="J21" s="308">
        <f>H21/'- 7 -'!F21</f>
        <v>54.5814951350698</v>
      </c>
    </row>
    <row r="22" spans="1:10" ht="13.5" customHeight="1">
      <c r="A22" s="388" t="s">
        <v>337</v>
      </c>
      <c r="B22" s="309">
        <v>46985</v>
      </c>
      <c r="C22" s="279">
        <f>B22/'- 3 -'!D22</f>
        <v>0.0036699504984329385</v>
      </c>
      <c r="D22" s="309">
        <f>B22/'- 7 -'!F22</f>
        <v>27.801775147928993</v>
      </c>
      <c r="E22" s="309">
        <v>37702</v>
      </c>
      <c r="F22" s="279">
        <f>E22/'- 3 -'!D22</f>
        <v>0.002944864822643794</v>
      </c>
      <c r="G22" s="309">
        <f>E22/'- 7 -'!F22</f>
        <v>22.30887573964497</v>
      </c>
      <c r="H22" s="309">
        <v>119711</v>
      </c>
      <c r="I22" s="279">
        <f>H22/'- 3 -'!D22</f>
        <v>0.009350504291112175</v>
      </c>
      <c r="J22" s="309">
        <f>H22/'- 7 -'!F22</f>
        <v>70.83491124260355</v>
      </c>
    </row>
    <row r="23" spans="1:10" ht="13.5" customHeight="1">
      <c r="A23" s="387" t="s">
        <v>338</v>
      </c>
      <c r="B23" s="308">
        <v>41250</v>
      </c>
      <c r="C23" s="278">
        <f>B23/'- 3 -'!D23</f>
        <v>0.00385340759402478</v>
      </c>
      <c r="D23" s="308">
        <f>B23/'- 7 -'!F23</f>
        <v>30.085332944351254</v>
      </c>
      <c r="E23" s="308">
        <v>15786</v>
      </c>
      <c r="F23" s="278">
        <f>E23/'- 3 -'!D23</f>
        <v>0.0014746640552551558</v>
      </c>
      <c r="G23" s="308">
        <f>E23/'- 7 -'!F23</f>
        <v>11.513383414776458</v>
      </c>
      <c r="H23" s="308">
        <v>256309</v>
      </c>
      <c r="I23" s="278">
        <f>H23/'- 3 -'!D23</f>
        <v>0.023943346594349026</v>
      </c>
      <c r="J23" s="308">
        <f>H23/'- 7 -'!F23</f>
        <v>186.9367661002115</v>
      </c>
    </row>
    <row r="24" spans="1:10" ht="13.5" customHeight="1">
      <c r="A24" s="388" t="s">
        <v>339</v>
      </c>
      <c r="B24" s="309">
        <v>93258</v>
      </c>
      <c r="C24" s="279">
        <f>B24/'- 3 -'!D24</f>
        <v>0.002796953266552192</v>
      </c>
      <c r="D24" s="309">
        <f>B24/'- 7 -'!F24</f>
        <v>20.22204393173884</v>
      </c>
      <c r="E24" s="309">
        <v>191229</v>
      </c>
      <c r="F24" s="279">
        <f>E24/'- 3 -'!D24</f>
        <v>0.00573525677378358</v>
      </c>
      <c r="G24" s="309">
        <f>E24/'- 7 -'!F24</f>
        <v>41.46605373289677</v>
      </c>
      <c r="H24" s="309">
        <v>388662</v>
      </c>
      <c r="I24" s="279">
        <f>H24/'- 3 -'!D24</f>
        <v>0.011656581210027108</v>
      </c>
      <c r="J24" s="309">
        <f>H24/'- 7 -'!F24</f>
        <v>84.27738144285188</v>
      </c>
    </row>
    <row r="25" spans="1:10" ht="13.5" customHeight="1">
      <c r="A25" s="387" t="s">
        <v>340</v>
      </c>
      <c r="B25" s="308">
        <v>431230</v>
      </c>
      <c r="C25" s="278">
        <f>B25/'- 3 -'!D25</f>
        <v>0.004167408983069774</v>
      </c>
      <c r="D25" s="308">
        <f>B25/'- 7 -'!F25</f>
        <v>28.96260376648846</v>
      </c>
      <c r="E25" s="308">
        <v>638024</v>
      </c>
      <c r="F25" s="278">
        <f>E25/'- 3 -'!D25</f>
        <v>0.00616586728431257</v>
      </c>
      <c r="G25" s="308">
        <f>E25/'- 7 -'!F25</f>
        <v>42.85146280525481</v>
      </c>
      <c r="H25" s="308">
        <v>1107442</v>
      </c>
      <c r="I25" s="278">
        <f>H25/'- 3 -'!D25</f>
        <v>0.01070232529979073</v>
      </c>
      <c r="J25" s="308">
        <f>H25/'- 7 -'!F25</f>
        <v>74.37887865029685</v>
      </c>
    </row>
    <row r="26" spans="1:10" ht="13.5" customHeight="1">
      <c r="A26" s="388" t="s">
        <v>341</v>
      </c>
      <c r="B26" s="309">
        <v>47788.43</v>
      </c>
      <c r="C26" s="279">
        <f>B26/'- 3 -'!D26</f>
        <v>0.0018510912982314727</v>
      </c>
      <c r="D26" s="309">
        <f>B26/'- 7 -'!F26</f>
        <v>14.265202985074627</v>
      </c>
      <c r="E26" s="309">
        <v>45522.1</v>
      </c>
      <c r="F26" s="279">
        <f>E26/'- 3 -'!D26</f>
        <v>0.001763304699217424</v>
      </c>
      <c r="G26" s="309">
        <f>E26/'- 7 -'!F26</f>
        <v>13.588686567164178</v>
      </c>
      <c r="H26" s="309">
        <v>333453.53</v>
      </c>
      <c r="I26" s="279">
        <f>H26/'- 3 -'!D26</f>
        <v>0.012916367575740977</v>
      </c>
      <c r="J26" s="309">
        <f>H26/'- 7 -'!F26</f>
        <v>99.5383671641791</v>
      </c>
    </row>
    <row r="27" spans="1:10" ht="13.5" customHeight="1">
      <c r="A27" s="387" t="s">
        <v>342</v>
      </c>
      <c r="B27" s="308">
        <v>102253</v>
      </c>
      <c r="C27" s="278">
        <f>B27/'- 3 -'!D27</f>
        <v>0.003980212482226294</v>
      </c>
      <c r="D27" s="308">
        <f>B27/'- 7 -'!F27</f>
        <v>30.814875086640754</v>
      </c>
      <c r="E27" s="308">
        <v>18462</v>
      </c>
      <c r="F27" s="278">
        <f>E27/'- 3 -'!D27</f>
        <v>0.0007186359602834327</v>
      </c>
      <c r="G27" s="308">
        <f>E27/'- 7 -'!F27</f>
        <v>5.563692252056777</v>
      </c>
      <c r="H27" s="308">
        <v>132831</v>
      </c>
      <c r="I27" s="278">
        <f>H27/'- 3 -'!D27</f>
        <v>0.005170465455552413</v>
      </c>
      <c r="J27" s="308">
        <f>H27/'- 7 -'!F27</f>
        <v>40.02983455383781</v>
      </c>
    </row>
    <row r="28" spans="1:10" ht="13.5" customHeight="1">
      <c r="A28" s="388" t="s">
        <v>343</v>
      </c>
      <c r="B28" s="309">
        <v>133239</v>
      </c>
      <c r="C28" s="279">
        <f>B28/'- 3 -'!D28</f>
        <v>0.00827935822153855</v>
      </c>
      <c r="D28" s="309">
        <f>B28/'- 7 -'!F28</f>
        <v>62.22632168877266</v>
      </c>
      <c r="E28" s="309">
        <v>26798</v>
      </c>
      <c r="F28" s="279">
        <f>E28/'- 3 -'!D28</f>
        <v>0.0016652049446542684</v>
      </c>
      <c r="G28" s="309">
        <f>E28/'- 7 -'!F28</f>
        <v>12.515411918550347</v>
      </c>
      <c r="H28" s="309">
        <v>173393</v>
      </c>
      <c r="I28" s="279">
        <f>H28/'- 3 -'!D28</f>
        <v>0.010774493655065213</v>
      </c>
      <c r="J28" s="309">
        <f>H28/'- 7 -'!F28</f>
        <v>80.97935736969924</v>
      </c>
    </row>
    <row r="29" spans="1:10" ht="13.5" customHeight="1">
      <c r="A29" s="387" t="s">
        <v>344</v>
      </c>
      <c r="B29" s="308">
        <v>745814</v>
      </c>
      <c r="C29" s="278">
        <f>B29/'- 3 -'!D29</f>
        <v>0.007641868163362696</v>
      </c>
      <c r="D29" s="308">
        <f>B29/'- 7 -'!F29</f>
        <v>57.02857492410861</v>
      </c>
      <c r="E29" s="308">
        <v>965757</v>
      </c>
      <c r="F29" s="278">
        <f>E29/'- 3 -'!D29</f>
        <v>0.009895480202630506</v>
      </c>
      <c r="G29" s="308">
        <f>E29/'- 7 -'!F29</f>
        <v>73.84648911522493</v>
      </c>
      <c r="H29" s="308">
        <v>1470018</v>
      </c>
      <c r="I29" s="278">
        <f>H29/'- 3 -'!D29</f>
        <v>0.015062312793498251</v>
      </c>
      <c r="J29" s="308">
        <f>H29/'- 7 -'!F29</f>
        <v>112.40474388089831</v>
      </c>
    </row>
    <row r="30" spans="1:10" ht="13.5" customHeight="1">
      <c r="A30" s="388" t="s">
        <v>345</v>
      </c>
      <c r="B30" s="309">
        <v>43404</v>
      </c>
      <c r="C30" s="279">
        <f>B30/'- 3 -'!D30</f>
        <v>0.004504850467278079</v>
      </c>
      <c r="D30" s="309">
        <f>B30/'- 7 -'!F30</f>
        <v>33.840636207703106</v>
      </c>
      <c r="E30" s="309">
        <v>17826</v>
      </c>
      <c r="F30" s="279">
        <f>E30/'- 3 -'!D30</f>
        <v>0.001850139720525736</v>
      </c>
      <c r="G30" s="309">
        <f>E30/'- 7 -'!F30</f>
        <v>13.89833151411196</v>
      </c>
      <c r="H30" s="309">
        <v>161392</v>
      </c>
      <c r="I30" s="279">
        <f>H30/'- 3 -'!D30</f>
        <v>0.016750687185857153</v>
      </c>
      <c r="J30" s="309">
        <f>H30/'- 7 -'!F30</f>
        <v>125.8319039451115</v>
      </c>
    </row>
    <row r="31" spans="1:10" ht="13.5" customHeight="1">
      <c r="A31" s="387" t="s">
        <v>346</v>
      </c>
      <c r="B31" s="308">
        <v>157386</v>
      </c>
      <c r="C31" s="278">
        <f>B31/'- 3 -'!D31</f>
        <v>0.0064515314486025864</v>
      </c>
      <c r="D31" s="308">
        <f>B31/'- 7 -'!F31</f>
        <v>46.76730157786824</v>
      </c>
      <c r="E31" s="308">
        <v>36870</v>
      </c>
      <c r="F31" s="278">
        <f>E31/'- 3 -'!D31</f>
        <v>0.0015113667321742554</v>
      </c>
      <c r="G31" s="308">
        <f>E31/'- 7 -'!F31</f>
        <v>10.95593260630553</v>
      </c>
      <c r="H31" s="308">
        <v>231469</v>
      </c>
      <c r="I31" s="278">
        <f>H31/'- 3 -'!D31</f>
        <v>0.009488325091663757</v>
      </c>
      <c r="J31" s="308">
        <f>H31/'- 7 -'!F31</f>
        <v>68.78108935310374</v>
      </c>
    </row>
    <row r="32" spans="1:10" ht="13.5" customHeight="1">
      <c r="A32" s="388" t="s">
        <v>347</v>
      </c>
      <c r="B32" s="309">
        <v>104969</v>
      </c>
      <c r="C32" s="279">
        <f>B32/'- 3 -'!D32</f>
        <v>0.005774530518549749</v>
      </c>
      <c r="D32" s="309">
        <f>B32/'- 7 -'!F32</f>
        <v>44.66765957446808</v>
      </c>
      <c r="E32" s="309">
        <v>75904</v>
      </c>
      <c r="F32" s="279">
        <f>E32/'- 3 -'!D32</f>
        <v>0.004175613414246112</v>
      </c>
      <c r="G32" s="309">
        <f>E32/'- 7 -'!F32</f>
        <v>32.299574468085105</v>
      </c>
      <c r="H32" s="309">
        <v>209201</v>
      </c>
      <c r="I32" s="279">
        <f>H32/'- 3 -'!D32</f>
        <v>0.011508517362374853</v>
      </c>
      <c r="J32" s="309">
        <f>H32/'- 7 -'!F32</f>
        <v>89.02170212765958</v>
      </c>
    </row>
    <row r="33" spans="1:10" ht="13.5" customHeight="1">
      <c r="A33" s="387" t="s">
        <v>348</v>
      </c>
      <c r="B33" s="308">
        <v>101820</v>
      </c>
      <c r="C33" s="278">
        <f>B33/'- 3 -'!D33</f>
        <v>0.004697167624529954</v>
      </c>
      <c r="D33" s="308">
        <f>B33/'- 7 -'!F33</f>
        <v>40.840720388271635</v>
      </c>
      <c r="E33" s="308">
        <v>31274</v>
      </c>
      <c r="F33" s="278">
        <f>E33/'- 3 -'!D33</f>
        <v>0.0014427344361574326</v>
      </c>
      <c r="G33" s="308">
        <f>E33/'- 7 -'!F33</f>
        <v>12.54422205286591</v>
      </c>
      <c r="H33" s="308">
        <v>251155</v>
      </c>
      <c r="I33" s="278">
        <f>H33/'- 3 -'!D33</f>
        <v>0.011586300675101363</v>
      </c>
      <c r="J33" s="308">
        <f>H33/'- 7 -'!F33</f>
        <v>100.74004251734789</v>
      </c>
    </row>
    <row r="34" spans="1:10" ht="13.5" customHeight="1">
      <c r="A34" s="388" t="s">
        <v>349</v>
      </c>
      <c r="B34" s="309">
        <v>52516</v>
      </c>
      <c r="C34" s="279">
        <f>B34/'- 3 -'!D34</f>
        <v>0.0031959086877160403</v>
      </c>
      <c r="D34" s="309">
        <f>B34/'- 7 -'!F34</f>
        <v>23.741410488245933</v>
      </c>
      <c r="E34" s="309">
        <v>139942</v>
      </c>
      <c r="F34" s="279">
        <f>E34/'- 3 -'!D34</f>
        <v>0.008516297006176368</v>
      </c>
      <c r="G34" s="309">
        <f>E34/'- 7 -'!F34</f>
        <v>63.26491862567812</v>
      </c>
      <c r="H34" s="309">
        <v>142334</v>
      </c>
      <c r="I34" s="279">
        <f>H34/'- 3 -'!D34</f>
        <v>0.008661864330058932</v>
      </c>
      <c r="J34" s="309">
        <f>H34/'- 7 -'!F34</f>
        <v>64.34629294755877</v>
      </c>
    </row>
    <row r="35" spans="1:10" ht="13.5" customHeight="1">
      <c r="A35" s="387" t="s">
        <v>350</v>
      </c>
      <c r="B35" s="308">
        <v>533478</v>
      </c>
      <c r="C35" s="278">
        <f>B35/'- 3 -'!D35</f>
        <v>0.0043594002469785845</v>
      </c>
      <c r="D35" s="308">
        <f>B35/'- 7 -'!F35</f>
        <v>29.940901463151807</v>
      </c>
      <c r="E35" s="308">
        <v>125571</v>
      </c>
      <c r="F35" s="278">
        <f>E35/'- 3 -'!D35</f>
        <v>0.0010261233798082542</v>
      </c>
      <c r="G35" s="308">
        <f>E35/'- 7 -'!F35</f>
        <v>7.047542612121654</v>
      </c>
      <c r="H35" s="308">
        <v>1325931</v>
      </c>
      <c r="I35" s="278">
        <f>H35/'- 3 -'!D35</f>
        <v>0.01083505585774214</v>
      </c>
      <c r="J35" s="308">
        <f>H35/'- 7 -'!F35</f>
        <v>74.41650718106152</v>
      </c>
    </row>
    <row r="36" spans="1:10" ht="13.5" customHeight="1">
      <c r="A36" s="388" t="s">
        <v>351</v>
      </c>
      <c r="B36" s="309">
        <v>86688</v>
      </c>
      <c r="C36" s="279">
        <f>B36/'- 3 -'!D36</f>
        <v>0.005444632761442142</v>
      </c>
      <c r="D36" s="309">
        <f>B36/'- 7 -'!F36</f>
        <v>40.813559322033896</v>
      </c>
      <c r="E36" s="309">
        <v>94293</v>
      </c>
      <c r="F36" s="279">
        <f>E36/'- 3 -'!D36</f>
        <v>0.005922281711132612</v>
      </c>
      <c r="G36" s="309">
        <f>E36/'- 7 -'!F36</f>
        <v>44.394067796610166</v>
      </c>
      <c r="H36" s="309">
        <v>143821</v>
      </c>
      <c r="I36" s="279">
        <f>H36/'- 3 -'!D36</f>
        <v>0.009032997974152943</v>
      </c>
      <c r="J36" s="309">
        <f>H36/'- 7 -'!F36</f>
        <v>67.7123352165725</v>
      </c>
    </row>
    <row r="37" spans="1:10" ht="13.5" customHeight="1">
      <c r="A37" s="387" t="s">
        <v>352</v>
      </c>
      <c r="B37" s="308">
        <v>75074</v>
      </c>
      <c r="C37" s="278">
        <f>B37/'- 3 -'!D37</f>
        <v>0.0032096445470651317</v>
      </c>
      <c r="D37" s="308">
        <f>B37/'- 7 -'!F37</f>
        <v>22.21058548563652</v>
      </c>
      <c r="E37" s="308">
        <v>56601</v>
      </c>
      <c r="F37" s="278">
        <f>E37/'- 3 -'!D37</f>
        <v>0.002419866944726983</v>
      </c>
      <c r="G37" s="308">
        <f>E37/'- 7 -'!F37</f>
        <v>16.745362563237773</v>
      </c>
      <c r="H37" s="308">
        <v>257999</v>
      </c>
      <c r="I37" s="278">
        <f>H37/'- 3 -'!D37</f>
        <v>0.011030251265394902</v>
      </c>
      <c r="J37" s="308">
        <f>H37/'- 7 -'!F37</f>
        <v>76.32880684003432</v>
      </c>
    </row>
    <row r="38" spans="1:10" ht="13.5" customHeight="1">
      <c r="A38" s="388" t="s">
        <v>353</v>
      </c>
      <c r="B38" s="309">
        <v>152844</v>
      </c>
      <c r="C38" s="279">
        <f>B38/'- 3 -'!D38</f>
        <v>0.0024836299704132877</v>
      </c>
      <c r="D38" s="309">
        <f>B38/'- 7 -'!F38</f>
        <v>17.93207015897225</v>
      </c>
      <c r="E38" s="309">
        <v>219782</v>
      </c>
      <c r="F38" s="279">
        <f>E38/'- 3 -'!D38</f>
        <v>0.0035713352317223654</v>
      </c>
      <c r="G38" s="309">
        <f>E38/'- 7 -'!F38</f>
        <v>25.785416788877807</v>
      </c>
      <c r="H38" s="309">
        <v>480780</v>
      </c>
      <c r="I38" s="279">
        <f>H38/'- 3 -'!D38</f>
        <v>0.007812407534318</v>
      </c>
      <c r="J38" s="309">
        <f>H38/'- 7 -'!F38</f>
        <v>56.40640581920572</v>
      </c>
    </row>
    <row r="39" spans="1:10" ht="13.5" customHeight="1">
      <c r="A39" s="387" t="s">
        <v>354</v>
      </c>
      <c r="B39" s="308">
        <v>162612</v>
      </c>
      <c r="C39" s="278">
        <f>B39/'- 3 -'!D39</f>
        <v>0.011076128770553242</v>
      </c>
      <c r="D39" s="308">
        <f>B39/'- 7 -'!F39</f>
        <v>89.8905472636816</v>
      </c>
      <c r="E39" s="308">
        <v>45616</v>
      </c>
      <c r="F39" s="278">
        <f>E39/'- 3 -'!D39</f>
        <v>0.003107081211703667</v>
      </c>
      <c r="G39" s="308">
        <f>E39/'- 7 -'!F39</f>
        <v>25.216141514648978</v>
      </c>
      <c r="H39" s="308">
        <v>248136</v>
      </c>
      <c r="I39" s="278">
        <f>H39/'- 3 -'!D39</f>
        <v>0.016901497359419964</v>
      </c>
      <c r="J39" s="308">
        <f>H39/'- 7 -'!F39</f>
        <v>137.16749585406302</v>
      </c>
    </row>
    <row r="40" spans="1:10" ht="13.5" customHeight="1">
      <c r="A40" s="388" t="s">
        <v>355</v>
      </c>
      <c r="B40" s="309">
        <v>364787</v>
      </c>
      <c r="C40" s="279">
        <f>B40/'- 3 -'!D40</f>
        <v>0.005876916012574664</v>
      </c>
      <c r="D40" s="309">
        <f>B40/'- 7 -'!F40</f>
        <v>40.0014255401975</v>
      </c>
      <c r="E40" s="309">
        <v>89303</v>
      </c>
      <c r="F40" s="279">
        <f>E40/'- 3 -'!D40</f>
        <v>0.0014387196656431157</v>
      </c>
      <c r="G40" s="309">
        <f>E40/'- 7 -'!F40</f>
        <v>9.792693558203164</v>
      </c>
      <c r="H40" s="309">
        <v>680945</v>
      </c>
      <c r="I40" s="279">
        <f>H40/'- 3 -'!D40</f>
        <v>0.010970392514488331</v>
      </c>
      <c r="J40" s="309">
        <f>H40/'- 7 -'!F40</f>
        <v>74.67034382932995</v>
      </c>
    </row>
    <row r="41" spans="1:10" ht="13.5" customHeight="1">
      <c r="A41" s="387" t="s">
        <v>356</v>
      </c>
      <c r="B41" s="308">
        <v>126632</v>
      </c>
      <c r="C41" s="278">
        <f>B41/'- 3 -'!D41</f>
        <v>0.0033715985845526883</v>
      </c>
      <c r="D41" s="308">
        <f>B41/'- 7 -'!F41</f>
        <v>25.760201798283088</v>
      </c>
      <c r="E41" s="308">
        <v>52376</v>
      </c>
      <c r="F41" s="278">
        <f>E41/'- 3 -'!D41</f>
        <v>0.0013945199275422612</v>
      </c>
      <c r="G41" s="308">
        <f>E41/'- 7 -'!F41</f>
        <v>10.654623865901785</v>
      </c>
      <c r="H41" s="308">
        <v>425223</v>
      </c>
      <c r="I41" s="278">
        <f>H41/'- 3 -'!D41</f>
        <v>0.011321634854691136</v>
      </c>
      <c r="J41" s="308">
        <f>H41/'- 7 -'!F41</f>
        <v>86.50128158183816</v>
      </c>
    </row>
    <row r="42" spans="1:10" ht="13.5" customHeight="1">
      <c r="A42" s="388" t="s">
        <v>357</v>
      </c>
      <c r="B42" s="309">
        <v>184516</v>
      </c>
      <c r="C42" s="279">
        <f>B42/'- 3 -'!D42</f>
        <v>0.012690191944345713</v>
      </c>
      <c r="D42" s="309">
        <f>B42/'- 7 -'!F42</f>
        <v>98.13114928468862</v>
      </c>
      <c r="E42" s="309">
        <v>59863</v>
      </c>
      <c r="F42" s="279">
        <f>E42/'- 3 -'!D42</f>
        <v>0.004117111580374425</v>
      </c>
      <c r="G42" s="309">
        <f>E42/'- 7 -'!F42</f>
        <v>31.836940913683986</v>
      </c>
      <c r="H42" s="309">
        <v>397697</v>
      </c>
      <c r="I42" s="279">
        <f>H42/'- 3 -'!D42</f>
        <v>0.0273518354272283</v>
      </c>
      <c r="J42" s="309">
        <f>H42/'- 7 -'!F42</f>
        <v>211.50720629686754</v>
      </c>
    </row>
    <row r="43" spans="1:10" ht="13.5" customHeight="1">
      <c r="A43" s="387" t="s">
        <v>358</v>
      </c>
      <c r="B43" s="308">
        <v>30940</v>
      </c>
      <c r="C43" s="278">
        <f>B43/'- 3 -'!D43</f>
        <v>0.0033945720420018497</v>
      </c>
      <c r="D43" s="308">
        <f>B43/'- 7 -'!F43</f>
        <v>25.381460213289582</v>
      </c>
      <c r="E43" s="308">
        <v>10461</v>
      </c>
      <c r="F43" s="278">
        <f>E43/'- 3 -'!D43</f>
        <v>0.0011477252143303604</v>
      </c>
      <c r="G43" s="308">
        <f>E43/'- 7 -'!F43</f>
        <v>8.581624282198524</v>
      </c>
      <c r="H43" s="308">
        <v>35906</v>
      </c>
      <c r="I43" s="278">
        <f>H43/'- 3 -'!D43</f>
        <v>0.003939415117650886</v>
      </c>
      <c r="J43" s="308">
        <f>H43/'- 7 -'!F43</f>
        <v>29.45529122231337</v>
      </c>
    </row>
    <row r="44" spans="1:10" ht="13.5" customHeight="1">
      <c r="A44" s="388" t="s">
        <v>359</v>
      </c>
      <c r="B44" s="309">
        <v>33658</v>
      </c>
      <c r="C44" s="279">
        <f>B44/'- 3 -'!D44</f>
        <v>0.005142326686517309</v>
      </c>
      <c r="D44" s="309">
        <f>B44/'- 7 -'!F44</f>
        <v>41.12156383628589</v>
      </c>
      <c r="E44" s="309">
        <v>35035</v>
      </c>
      <c r="F44" s="279">
        <f>E44/'- 3 -'!D44</f>
        <v>0.005352707096741753</v>
      </c>
      <c r="G44" s="309">
        <f>E44/'- 7 -'!F44</f>
        <v>42.803909590714724</v>
      </c>
      <c r="H44" s="309">
        <v>64635</v>
      </c>
      <c r="I44" s="279">
        <f>H44/'- 3 -'!D44</f>
        <v>0.009875045617180054</v>
      </c>
      <c r="J44" s="309">
        <f>H44/'- 7 -'!F44</f>
        <v>78.96762370189371</v>
      </c>
    </row>
    <row r="45" spans="1:10" ht="13.5" customHeight="1">
      <c r="A45" s="387" t="s">
        <v>360</v>
      </c>
      <c r="B45" s="308">
        <v>105208</v>
      </c>
      <c r="C45" s="278">
        <f>B45/'- 3 -'!D45</f>
        <v>0.010639106868376345</v>
      </c>
      <c r="D45" s="308">
        <f>B45/'- 7 -'!F45</f>
        <v>72.15912208504801</v>
      </c>
      <c r="E45" s="308">
        <v>12295</v>
      </c>
      <c r="F45" s="278">
        <f>E45/'- 3 -'!D45</f>
        <v>0.0012433257827036647</v>
      </c>
      <c r="G45" s="308">
        <f>E45/'- 7 -'!F45</f>
        <v>8.432784636488341</v>
      </c>
      <c r="H45" s="308">
        <v>182188</v>
      </c>
      <c r="I45" s="278">
        <f>H45/'- 3 -'!D45</f>
        <v>0.018423671224011003</v>
      </c>
      <c r="J45" s="308">
        <f>H45/'- 7 -'!F45</f>
        <v>124.95747599451303</v>
      </c>
    </row>
    <row r="46" spans="1:10" ht="13.5" customHeight="1">
      <c r="A46" s="388" t="s">
        <v>361</v>
      </c>
      <c r="B46" s="309">
        <v>1724977</v>
      </c>
      <c r="C46" s="279">
        <f>B46/'- 3 -'!D46</f>
        <v>0.0068842528235610635</v>
      </c>
      <c r="D46" s="309">
        <f>B46/'- 7 -'!F46</f>
        <v>55.96395548778509</v>
      </c>
      <c r="E46" s="309">
        <v>490985</v>
      </c>
      <c r="F46" s="279">
        <f>E46/'- 3 -'!D46</f>
        <v>0.00195948402359923</v>
      </c>
      <c r="G46" s="309">
        <f>E46/'- 7 -'!F46</f>
        <v>15.929176264477825</v>
      </c>
      <c r="H46" s="309">
        <v>4282881</v>
      </c>
      <c r="I46" s="279">
        <f>H46/'- 3 -'!D46</f>
        <v>0.01709265434682667</v>
      </c>
      <c r="J46" s="309">
        <f>H46/'- 7 -'!F46</f>
        <v>138.9508159491289</v>
      </c>
    </row>
    <row r="47" spans="1:10" ht="13.5" customHeight="1">
      <c r="A47" s="387" t="s">
        <v>365</v>
      </c>
      <c r="B47" s="308">
        <v>74676</v>
      </c>
      <c r="C47" s="278">
        <f>B47/'- 3 -'!D47</f>
        <v>0.01342552399293738</v>
      </c>
      <c r="D47" s="308">
        <f>B47/'- 7 -'!F47</f>
        <v>121.07396478485036</v>
      </c>
      <c r="E47" s="308">
        <v>14582</v>
      </c>
      <c r="F47" s="278">
        <f>E47/'- 3 -'!D47</f>
        <v>0.002621605212719118</v>
      </c>
      <c r="G47" s="308">
        <f>E47/'- 7 -'!F47</f>
        <v>23.642141444275108</v>
      </c>
      <c r="H47" s="308">
        <v>157725</v>
      </c>
      <c r="I47" s="278">
        <f>H47/'- 3 -'!D47</f>
        <v>0.028356376503643047</v>
      </c>
      <c r="J47" s="308">
        <f>H47/'- 7 -'!F47</f>
        <v>255.7232724796524</v>
      </c>
    </row>
    <row r="48" spans="1:10" ht="4.5" customHeight="1">
      <c r="A48" s="389"/>
      <c r="B48" s="310"/>
      <c r="C48" s="162"/>
      <c r="D48" s="310"/>
      <c r="E48" s="310"/>
      <c r="F48" s="162"/>
      <c r="G48" s="310"/>
      <c r="H48" s="310"/>
      <c r="I48" s="162"/>
      <c r="J48" s="310"/>
    </row>
    <row r="49" spans="1:10" ht="13.5" customHeight="1">
      <c r="A49" s="383" t="s">
        <v>362</v>
      </c>
      <c r="B49" s="311">
        <f>SUM(B11:B47)</f>
        <v>7239345.43</v>
      </c>
      <c r="C49" s="81">
        <f>B49/'- 3 -'!D49</f>
        <v>0.005372436151327709</v>
      </c>
      <c r="D49" s="311">
        <f>B49/'- 7 -'!F49</f>
        <v>40.40838615691158</v>
      </c>
      <c r="E49" s="311">
        <f>SUM(E11:E47)</f>
        <v>4154998.39</v>
      </c>
      <c r="F49" s="81">
        <f>E49/'- 3 -'!D49</f>
        <v>0.003083491977968017</v>
      </c>
      <c r="G49" s="311">
        <f>E49/'- 7 -'!F49</f>
        <v>23.19225972125852</v>
      </c>
      <c r="H49" s="311">
        <f>SUM(H11:H47)</f>
        <v>17594607.51</v>
      </c>
      <c r="I49" s="81">
        <f>H49/'- 3 -'!D49</f>
        <v>0.013057244797772552</v>
      </c>
      <c r="J49" s="311">
        <f>H49/'- 7 -'!F49</f>
        <v>98.2091131605771</v>
      </c>
    </row>
    <row r="50" spans="1:10" ht="4.5" customHeight="1">
      <c r="A50" s="389" t="s">
        <v>15</v>
      </c>
      <c r="B50" s="310"/>
      <c r="C50" s="162"/>
      <c r="D50" s="310"/>
      <c r="E50" s="310"/>
      <c r="F50" s="162"/>
      <c r="G50" s="310"/>
      <c r="H50" s="310"/>
      <c r="I50" s="162"/>
      <c r="J50" s="310"/>
    </row>
    <row r="51" spans="1:10" ht="13.5" customHeight="1">
      <c r="A51" s="388" t="s">
        <v>363</v>
      </c>
      <c r="B51" s="309">
        <v>0</v>
      </c>
      <c r="C51" s="279">
        <f>B51/'- 3 -'!D51</f>
        <v>0</v>
      </c>
      <c r="D51" s="309">
        <f>B51/'- 7 -'!F51</f>
        <v>0</v>
      </c>
      <c r="E51" s="309">
        <v>3147</v>
      </c>
      <c r="F51" s="279">
        <f>E51/'- 3 -'!D51</f>
        <v>0.00249092912368686</v>
      </c>
      <c r="G51" s="309">
        <f>E51/'- 7 -'!F51</f>
        <v>20.568627450980394</v>
      </c>
      <c r="H51" s="309">
        <v>8873</v>
      </c>
      <c r="I51" s="279">
        <f>H51/'- 3 -'!D51</f>
        <v>0.007023201180322056</v>
      </c>
      <c r="J51" s="309">
        <f>H51/'- 7 -'!F51</f>
        <v>57.99346405228758</v>
      </c>
    </row>
    <row r="52" spans="1:10" ht="13.5" customHeight="1">
      <c r="A52" s="387" t="s">
        <v>364</v>
      </c>
      <c r="B52" s="308">
        <v>0</v>
      </c>
      <c r="C52" s="278">
        <f>B52/'- 3 -'!D52</f>
        <v>0</v>
      </c>
      <c r="D52" s="308">
        <f>B52/'- 7 -'!F52</f>
        <v>0</v>
      </c>
      <c r="E52" s="308">
        <v>25945</v>
      </c>
      <c r="F52" s="278">
        <f>E52/'- 3 -'!D52</f>
        <v>0.010880418559574327</v>
      </c>
      <c r="G52" s="308">
        <f>E52/'- 7 -'!F52</f>
        <v>95.03663003663004</v>
      </c>
      <c r="H52" s="308">
        <v>8429</v>
      </c>
      <c r="I52" s="278">
        <f>H52/'- 3 -'!D52</f>
        <v>0.003534825517003354</v>
      </c>
      <c r="J52" s="308">
        <f>H52/'- 7 -'!F52</f>
        <v>30.875457875457876</v>
      </c>
    </row>
    <row r="53" spans="1:10" ht="49.5" customHeight="1">
      <c r="A53" s="324"/>
      <c r="B53" s="324"/>
      <c r="C53" s="324"/>
      <c r="D53" s="324"/>
      <c r="E53" s="324"/>
      <c r="F53" s="324"/>
      <c r="G53" s="324"/>
      <c r="H53" s="324"/>
      <c r="I53" s="324"/>
      <c r="J53" s="324"/>
    </row>
    <row r="54" ht="15" customHeight="1">
      <c r="A54" s="9" t="s">
        <v>543</v>
      </c>
    </row>
    <row r="55" ht="14.25" customHeight="1">
      <c r="A55" s="479" t="s">
        <v>544</v>
      </c>
    </row>
    <row r="56" ht="12" customHeight="1"/>
    <row r="57" ht="12" customHeight="1"/>
    <row r="58" ht="12" customHeight="1"/>
    <row r="59" ht="12" customHeight="1"/>
    <row r="60" ht="12"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E58"/>
  <sheetViews>
    <sheetView showGridLines="0" workbookViewId="0" topLeftCell="A1">
      <selection activeCell="A1" sqref="A1"/>
    </sheetView>
  </sheetViews>
  <sheetFormatPr defaultColWidth="15.83203125" defaultRowHeight="12"/>
  <cols>
    <col min="1" max="1" width="33.83203125" style="67" customWidth="1"/>
    <col min="2" max="2" width="35.83203125" style="67" customWidth="1"/>
    <col min="3" max="4" width="16.83203125" style="67" customWidth="1"/>
    <col min="5" max="5" width="31.83203125" style="67" customWidth="1"/>
    <col min="6" max="16384" width="15.83203125" style="67" customWidth="1"/>
  </cols>
  <sheetData>
    <row r="1" spans="1:4" ht="6.75" customHeight="1">
      <c r="A1" s="65"/>
      <c r="B1" s="116"/>
      <c r="C1" s="116"/>
      <c r="D1" s="116"/>
    </row>
    <row r="2" spans="1:5" ht="15.75" customHeight="1">
      <c r="A2" s="333"/>
      <c r="B2" s="360" t="s">
        <v>225</v>
      </c>
      <c r="C2" s="165"/>
      <c r="D2" s="164"/>
      <c r="E2" s="5"/>
    </row>
    <row r="3" spans="1:5" ht="15.75" customHeight="1">
      <c r="A3" s="334"/>
      <c r="B3" s="456" t="str">
        <f>OPYEAR</f>
        <v>OPERATING FUND 2002/2003 ACTUAL</v>
      </c>
      <c r="C3" s="167"/>
      <c r="D3" s="167"/>
      <c r="E3" s="6"/>
    </row>
    <row r="4" spans="2:4" ht="15.75" customHeight="1">
      <c r="B4" s="116"/>
      <c r="C4" s="116"/>
      <c r="D4" s="116"/>
    </row>
    <row r="5" ht="13.5" customHeight="1"/>
    <row r="6" spans="2:4" ht="18" customHeight="1">
      <c r="B6" s="301" t="s">
        <v>373</v>
      </c>
      <c r="C6" s="274"/>
      <c r="D6" s="275"/>
    </row>
    <row r="7" spans="2:4" ht="15.75" customHeight="1">
      <c r="B7" s="54" t="s">
        <v>81</v>
      </c>
      <c r="C7" s="55"/>
      <c r="D7" s="56"/>
    </row>
    <row r="8" spans="1:4" ht="15.75" customHeight="1">
      <c r="A8" s="313"/>
      <c r="B8" s="58"/>
      <c r="C8" s="59"/>
      <c r="D8" s="191" t="s">
        <v>87</v>
      </c>
    </row>
    <row r="9" spans="1:4" ht="15.75" customHeight="1">
      <c r="A9" s="314" t="s">
        <v>112</v>
      </c>
      <c r="B9" s="61" t="s">
        <v>113</v>
      </c>
      <c r="C9" s="61" t="s">
        <v>114</v>
      </c>
      <c r="D9" s="61" t="s">
        <v>115</v>
      </c>
    </row>
    <row r="10" ht="4.5" customHeight="1">
      <c r="A10" s="62"/>
    </row>
    <row r="11" spans="1:4" ht="13.5" customHeight="1">
      <c r="A11" s="387" t="s">
        <v>327</v>
      </c>
      <c r="B11" s="308">
        <f>SUM('- 38 -'!B11,'- 38 -'!E11,'- 38 -'!H11)</f>
        <v>268184</v>
      </c>
      <c r="C11" s="278">
        <f>B11/'- 3 -'!D11</f>
        <v>0.024005678553537815</v>
      </c>
      <c r="D11" s="308">
        <f>B11/'- 7 -'!F11</f>
        <v>165.29060092449922</v>
      </c>
    </row>
    <row r="12" spans="1:4" ht="13.5" customHeight="1">
      <c r="A12" s="388" t="s">
        <v>328</v>
      </c>
      <c r="B12" s="309">
        <f>SUM('- 38 -'!B12,'- 38 -'!E12,'- 38 -'!H12)</f>
        <v>317681</v>
      </c>
      <c r="C12" s="279">
        <f>B12/'- 3 -'!D12</f>
        <v>0.017306140566298193</v>
      </c>
      <c r="D12" s="309">
        <f>B12/'- 7 -'!F12</f>
        <v>135.18915698540363</v>
      </c>
    </row>
    <row r="13" spans="1:4" ht="13.5" customHeight="1">
      <c r="A13" s="387" t="s">
        <v>329</v>
      </c>
      <c r="B13" s="308">
        <f>SUM('- 38 -'!B13,'- 38 -'!E13,'- 38 -'!H13)</f>
        <v>855839</v>
      </c>
      <c r="C13" s="278">
        <f>B13/'- 3 -'!D13</f>
        <v>0.01839245334304248</v>
      </c>
      <c r="D13" s="308">
        <f>B13/'- 7 -'!F13</f>
        <v>117.35074729192377</v>
      </c>
    </row>
    <row r="14" spans="1:4" ht="13.5" customHeight="1">
      <c r="A14" s="388" t="s">
        <v>366</v>
      </c>
      <c r="B14" s="309">
        <f>SUM('- 38 -'!B14,'- 38 -'!E14,'- 38 -'!H14)</f>
        <v>794446</v>
      </c>
      <c r="C14" s="279">
        <f>B14/'- 3 -'!D14</f>
        <v>0.02012211980843149</v>
      </c>
      <c r="D14" s="309">
        <f>B14/'- 7 -'!F14</f>
        <v>185.65292578051972</v>
      </c>
    </row>
    <row r="15" spans="1:4" ht="13.5" customHeight="1">
      <c r="A15" s="387" t="s">
        <v>330</v>
      </c>
      <c r="B15" s="308">
        <f>SUM('- 38 -'!B15,'- 38 -'!E15,'- 38 -'!H15)</f>
        <v>450171</v>
      </c>
      <c r="C15" s="278">
        <f>B15/'- 3 -'!D15</f>
        <v>0.035854326164448634</v>
      </c>
      <c r="D15" s="308">
        <f>B15/'- 7 -'!F15</f>
        <v>267.0053380782918</v>
      </c>
    </row>
    <row r="16" spans="1:4" ht="13.5" customHeight="1">
      <c r="A16" s="388" t="s">
        <v>331</v>
      </c>
      <c r="B16" s="309">
        <f>SUM('- 38 -'!B16,'- 38 -'!E16,'- 38 -'!H16)</f>
        <v>259574</v>
      </c>
      <c r="C16" s="279">
        <f>B16/'- 3 -'!D16</f>
        <v>0.02407062859194603</v>
      </c>
      <c r="D16" s="309">
        <f>B16/'- 7 -'!F16</f>
        <v>184.2100034063813</v>
      </c>
    </row>
    <row r="17" spans="1:4" ht="13.5" customHeight="1">
      <c r="A17" s="387" t="s">
        <v>332</v>
      </c>
      <c r="B17" s="308">
        <f>SUM('- 38 -'!B17,'- 38 -'!E17,'- 38 -'!H17)</f>
        <v>313073</v>
      </c>
      <c r="C17" s="278">
        <f>B17/'- 3 -'!D17</f>
        <v>0.02543514421288785</v>
      </c>
      <c r="D17" s="308">
        <f>B17/'- 7 -'!F17</f>
        <v>199.32322306262256</v>
      </c>
    </row>
    <row r="18" spans="1:4" ht="13.5" customHeight="1">
      <c r="A18" s="388" t="s">
        <v>333</v>
      </c>
      <c r="B18" s="309">
        <f>SUM('- 38 -'!B18,'- 38 -'!E18,'- 38 -'!H18)</f>
        <v>1340211.27</v>
      </c>
      <c r="C18" s="279">
        <f>B18/'- 3 -'!D18</f>
        <v>0.018529093760305863</v>
      </c>
      <c r="D18" s="309">
        <f>B18/'- 7 -'!F18</f>
        <v>226.0433918030022</v>
      </c>
    </row>
    <row r="19" spans="1:4" ht="13.5" customHeight="1">
      <c r="A19" s="387" t="s">
        <v>334</v>
      </c>
      <c r="B19" s="308">
        <f>SUM('- 38 -'!B19,'- 38 -'!E19,'- 38 -'!H19)</f>
        <v>389751</v>
      </c>
      <c r="C19" s="278">
        <f>B19/'- 3 -'!D19</f>
        <v>0.02204395680967893</v>
      </c>
      <c r="D19" s="308">
        <f>B19/'- 7 -'!F19</f>
        <v>133.14351108530045</v>
      </c>
    </row>
    <row r="20" spans="1:4" ht="13.5" customHeight="1">
      <c r="A20" s="388" t="s">
        <v>335</v>
      </c>
      <c r="B20" s="309">
        <f>SUM('- 38 -'!B20,'- 38 -'!E20,'- 38 -'!H20)</f>
        <v>742012</v>
      </c>
      <c r="C20" s="279">
        <f>B20/'- 3 -'!D20</f>
        <v>0.02219095999172189</v>
      </c>
      <c r="D20" s="309">
        <f>B20/'- 7 -'!F20</f>
        <v>121.2239830093122</v>
      </c>
    </row>
    <row r="21" spans="1:4" ht="13.5" customHeight="1">
      <c r="A21" s="387" t="s">
        <v>336</v>
      </c>
      <c r="B21" s="308">
        <f>SUM('- 38 -'!B21,'- 38 -'!E21,'- 38 -'!H21)</f>
        <v>290910</v>
      </c>
      <c r="C21" s="278">
        <f>B21/'- 3 -'!D21</f>
        <v>0.012505064828515416</v>
      </c>
      <c r="D21" s="308">
        <f>B21/'- 7 -'!F21</f>
        <v>87.90415180999577</v>
      </c>
    </row>
    <row r="22" spans="1:4" ht="13.5" customHeight="1">
      <c r="A22" s="388" t="s">
        <v>337</v>
      </c>
      <c r="B22" s="309">
        <f>SUM('- 38 -'!B22,'- 38 -'!E22,'- 38 -'!H22)</f>
        <v>204398</v>
      </c>
      <c r="C22" s="279">
        <f>B22/'- 3 -'!D22</f>
        <v>0.015965319612188906</v>
      </c>
      <c r="D22" s="309">
        <f>B22/'- 7 -'!F22</f>
        <v>120.94556213017752</v>
      </c>
    </row>
    <row r="23" spans="1:4" ht="13.5" customHeight="1">
      <c r="A23" s="387" t="s">
        <v>338</v>
      </c>
      <c r="B23" s="308">
        <f>SUM('- 38 -'!B23,'- 38 -'!E23,'- 38 -'!H23)</f>
        <v>313345</v>
      </c>
      <c r="C23" s="278">
        <f>B23/'- 3 -'!D23</f>
        <v>0.02927141824362896</v>
      </c>
      <c r="D23" s="308">
        <f>B23/'- 7 -'!F23</f>
        <v>228.53548245933922</v>
      </c>
    </row>
    <row r="24" spans="1:4" ht="13.5" customHeight="1">
      <c r="A24" s="388" t="s">
        <v>339</v>
      </c>
      <c r="B24" s="309">
        <f>SUM('- 38 -'!B24,'- 38 -'!E24,'- 38 -'!H24)</f>
        <v>673149</v>
      </c>
      <c r="C24" s="279">
        <f>B24/'- 3 -'!D24</f>
        <v>0.02018879125036288</v>
      </c>
      <c r="D24" s="309">
        <f>B24/'- 7 -'!F24</f>
        <v>145.96547910748748</v>
      </c>
    </row>
    <row r="25" spans="1:4" ht="13.5" customHeight="1">
      <c r="A25" s="387" t="s">
        <v>340</v>
      </c>
      <c r="B25" s="308">
        <f>SUM('- 38 -'!B25,'- 38 -'!E25,'- 38 -'!H25)</f>
        <v>2176696</v>
      </c>
      <c r="C25" s="278">
        <f>B25/'- 3 -'!D25</f>
        <v>0.021035601567173073</v>
      </c>
      <c r="D25" s="308">
        <f>B25/'- 7 -'!F25</f>
        <v>146.19294522204012</v>
      </c>
    </row>
    <row r="26" spans="1:4" ht="13.5" customHeight="1">
      <c r="A26" s="388" t="s">
        <v>341</v>
      </c>
      <c r="B26" s="309">
        <f>SUM('- 38 -'!B26,'- 38 -'!E26,'- 38 -'!H26)</f>
        <v>426764.06000000006</v>
      </c>
      <c r="C26" s="279">
        <f>B26/'- 3 -'!D26</f>
        <v>0.016530763573189874</v>
      </c>
      <c r="D26" s="309">
        <f>B26/'- 7 -'!F26</f>
        <v>127.39225671641793</v>
      </c>
    </row>
    <row r="27" spans="1:4" ht="13.5" customHeight="1">
      <c r="A27" s="387" t="s">
        <v>342</v>
      </c>
      <c r="B27" s="308">
        <f>SUM('- 38 -'!B27,'- 38 -'!E27,'- 38 -'!H27)</f>
        <v>253546</v>
      </c>
      <c r="C27" s="278">
        <f>B27/'- 3 -'!D27</f>
        <v>0.00986931389806214</v>
      </c>
      <c r="D27" s="308">
        <f>B27/'- 7 -'!F27</f>
        <v>76.40840189253534</v>
      </c>
    </row>
    <row r="28" spans="1:4" ht="13.5" customHeight="1">
      <c r="A28" s="388" t="s">
        <v>343</v>
      </c>
      <c r="B28" s="309">
        <f>SUM('- 38 -'!B28,'- 38 -'!E28,'- 38 -'!H28)</f>
        <v>333430</v>
      </c>
      <c r="C28" s="279">
        <f>B28/'- 3 -'!D28</f>
        <v>0.02071905682125803</v>
      </c>
      <c r="D28" s="309">
        <f>B28/'- 7 -'!F28</f>
        <v>155.72109097702224</v>
      </c>
    </row>
    <row r="29" spans="1:4" ht="13.5" customHeight="1">
      <c r="A29" s="387" t="s">
        <v>344</v>
      </c>
      <c r="B29" s="308">
        <f>SUM('- 38 -'!B29,'- 38 -'!E29,'- 38 -'!H29)</f>
        <v>3181589</v>
      </c>
      <c r="C29" s="278">
        <f>B29/'- 3 -'!D29</f>
        <v>0.03259966115949145</v>
      </c>
      <c r="D29" s="308">
        <f>B29/'- 7 -'!F29</f>
        <v>243.27980792023186</v>
      </c>
    </row>
    <row r="30" spans="1:4" ht="13.5" customHeight="1">
      <c r="A30" s="388" t="s">
        <v>345</v>
      </c>
      <c r="B30" s="309">
        <f>SUM('- 38 -'!B30,'- 38 -'!E30,'- 38 -'!H30)</f>
        <v>222622</v>
      </c>
      <c r="C30" s="279">
        <f>B30/'- 3 -'!D30</f>
        <v>0.02310567737366097</v>
      </c>
      <c r="D30" s="309">
        <f>B30/'- 7 -'!F30</f>
        <v>173.57087166692656</v>
      </c>
    </row>
    <row r="31" spans="1:4" ht="13.5" customHeight="1">
      <c r="A31" s="387" t="s">
        <v>346</v>
      </c>
      <c r="B31" s="308">
        <f>SUM('- 38 -'!B31,'- 38 -'!E31,'- 38 -'!H31)</f>
        <v>425725</v>
      </c>
      <c r="C31" s="278">
        <f>B31/'- 3 -'!D31</f>
        <v>0.0174512232724406</v>
      </c>
      <c r="D31" s="308">
        <f>B31/'- 7 -'!F31</f>
        <v>126.5043235372775</v>
      </c>
    </row>
    <row r="32" spans="1:4" ht="13.5" customHeight="1">
      <c r="A32" s="388" t="s">
        <v>347</v>
      </c>
      <c r="B32" s="309">
        <f>SUM('- 38 -'!B32,'- 38 -'!E32,'- 38 -'!H32)</f>
        <v>390074</v>
      </c>
      <c r="C32" s="279">
        <f>B32/'- 3 -'!D32</f>
        <v>0.021458661295170715</v>
      </c>
      <c r="D32" s="309">
        <f>B32/'- 7 -'!F32</f>
        <v>165.98893617021275</v>
      </c>
    </row>
    <row r="33" spans="1:4" ht="13.5" customHeight="1">
      <c r="A33" s="387" t="s">
        <v>348</v>
      </c>
      <c r="B33" s="308">
        <f>SUM('- 38 -'!B33,'- 38 -'!E33,'- 38 -'!H33)</f>
        <v>384249</v>
      </c>
      <c r="C33" s="278">
        <f>B33/'- 3 -'!D33</f>
        <v>0.01772620273578875</v>
      </c>
      <c r="D33" s="308">
        <f>B33/'- 7 -'!F33</f>
        <v>154.1249849584854</v>
      </c>
    </row>
    <row r="34" spans="1:4" ht="13.5" customHeight="1">
      <c r="A34" s="388" t="s">
        <v>349</v>
      </c>
      <c r="B34" s="309">
        <f>SUM('- 38 -'!B34,'- 38 -'!E34,'- 38 -'!H34)</f>
        <v>334792</v>
      </c>
      <c r="C34" s="279">
        <f>B34/'- 3 -'!D34</f>
        <v>0.02037407002395134</v>
      </c>
      <c r="D34" s="309">
        <f>B34/'- 7 -'!F34</f>
        <v>151.35262206148283</v>
      </c>
    </row>
    <row r="35" spans="1:4" ht="13.5" customHeight="1">
      <c r="A35" s="387" t="s">
        <v>350</v>
      </c>
      <c r="B35" s="308">
        <f>SUM('- 38 -'!B35,'- 38 -'!E35,'- 38 -'!H35)</f>
        <v>1984980</v>
      </c>
      <c r="C35" s="278">
        <f>B35/'- 3 -'!D35</f>
        <v>0.01622057948452898</v>
      </c>
      <c r="D35" s="308">
        <f>B35/'- 7 -'!F35</f>
        <v>111.40495125633498</v>
      </c>
    </row>
    <row r="36" spans="1:4" ht="13.5" customHeight="1">
      <c r="A36" s="388" t="s">
        <v>351</v>
      </c>
      <c r="B36" s="309">
        <f>SUM('- 38 -'!B36,'- 38 -'!E36,'- 38 -'!H36)</f>
        <v>324802</v>
      </c>
      <c r="C36" s="279">
        <f>B36/'- 3 -'!D36</f>
        <v>0.020399912446727696</v>
      </c>
      <c r="D36" s="309">
        <f>B36/'- 7 -'!F36</f>
        <v>152.91996233521658</v>
      </c>
    </row>
    <row r="37" spans="1:4" ht="13.5" customHeight="1">
      <c r="A37" s="387" t="s">
        <v>352</v>
      </c>
      <c r="B37" s="308">
        <f>SUM('- 38 -'!B37,'- 38 -'!E37,'- 38 -'!H37)</f>
        <v>389674</v>
      </c>
      <c r="C37" s="278">
        <f>B37/'- 3 -'!D37</f>
        <v>0.016659762757187016</v>
      </c>
      <c r="D37" s="308">
        <f>B37/'- 7 -'!F37</f>
        <v>115.28475488890861</v>
      </c>
    </row>
    <row r="38" spans="1:4" ht="13.5" customHeight="1">
      <c r="A38" s="388" t="s">
        <v>353</v>
      </c>
      <c r="B38" s="309">
        <f>SUM('- 38 -'!B38,'- 38 -'!E38,'- 38 -'!H38)</f>
        <v>853406</v>
      </c>
      <c r="C38" s="279">
        <f>B38/'- 3 -'!D38</f>
        <v>0.013867372736453653</v>
      </c>
      <c r="D38" s="309">
        <f>B38/'- 7 -'!F38</f>
        <v>100.12389276705579</v>
      </c>
    </row>
    <row r="39" spans="1:4" ht="13.5" customHeight="1">
      <c r="A39" s="387" t="s">
        <v>354</v>
      </c>
      <c r="B39" s="308">
        <f>SUM('- 38 -'!B39,'- 38 -'!E39,'- 38 -'!H39)</f>
        <v>456364</v>
      </c>
      <c r="C39" s="278">
        <f>B39/'- 3 -'!D39</f>
        <v>0.031084707341676874</v>
      </c>
      <c r="D39" s="308">
        <f>B39/'- 7 -'!F39</f>
        <v>252.2741846323936</v>
      </c>
    </row>
    <row r="40" spans="1:4" ht="13.5" customHeight="1">
      <c r="A40" s="388" t="s">
        <v>355</v>
      </c>
      <c r="B40" s="309">
        <f>SUM('- 38 -'!B40,'- 38 -'!E40,'- 38 -'!H40)</f>
        <v>1135035</v>
      </c>
      <c r="C40" s="279">
        <f>B40/'- 3 -'!D40</f>
        <v>0.01828602819270611</v>
      </c>
      <c r="D40" s="309">
        <f>B40/'- 7 -'!F40</f>
        <v>124.46446292773061</v>
      </c>
    </row>
    <row r="41" spans="1:4" ht="13.5" customHeight="1">
      <c r="A41" s="387" t="s">
        <v>356</v>
      </c>
      <c r="B41" s="308">
        <f>SUM('- 38 -'!B41,'- 38 -'!E41,'- 38 -'!H41)</f>
        <v>604231</v>
      </c>
      <c r="C41" s="278">
        <f>B41/'- 3 -'!D41</f>
        <v>0.016087753366786084</v>
      </c>
      <c r="D41" s="308">
        <f>B41/'- 7 -'!F41</f>
        <v>122.91610724602302</v>
      </c>
    </row>
    <row r="42" spans="1:4" ht="13.5" customHeight="1">
      <c r="A42" s="388" t="s">
        <v>357</v>
      </c>
      <c r="B42" s="309">
        <f>SUM('- 38 -'!B42,'- 38 -'!E42,'- 38 -'!H42)</f>
        <v>642076</v>
      </c>
      <c r="C42" s="279">
        <f>B42/'- 3 -'!D42</f>
        <v>0.04415913895194844</v>
      </c>
      <c r="D42" s="309">
        <f>B42/'- 7 -'!F42</f>
        <v>341.4752964952401</v>
      </c>
    </row>
    <row r="43" spans="1:4" ht="13.5" customHeight="1">
      <c r="A43" s="387" t="s">
        <v>358</v>
      </c>
      <c r="B43" s="308">
        <f>SUM('- 38 -'!B43,'- 38 -'!E43,'- 38 -'!H43)</f>
        <v>77307</v>
      </c>
      <c r="C43" s="278">
        <f>B43/'- 3 -'!D43</f>
        <v>0.008481712373983095</v>
      </c>
      <c r="D43" s="308">
        <f>B43/'- 7 -'!F43</f>
        <v>63.418375717801474</v>
      </c>
    </row>
    <row r="44" spans="1:4" ht="13.5" customHeight="1">
      <c r="A44" s="388" t="s">
        <v>359</v>
      </c>
      <c r="B44" s="309">
        <f>SUM('- 38 -'!B44,'- 38 -'!E44,'- 38 -'!H44)</f>
        <v>133328</v>
      </c>
      <c r="C44" s="279">
        <f>B44/'- 3 -'!D44</f>
        <v>0.020370079400439115</v>
      </c>
      <c r="D44" s="309">
        <f>B44/'- 7 -'!F44</f>
        <v>162.8930971288943</v>
      </c>
    </row>
    <row r="45" spans="1:4" ht="13.5" customHeight="1">
      <c r="A45" s="387" t="s">
        <v>360</v>
      </c>
      <c r="B45" s="308">
        <f>SUM('- 38 -'!B45,'- 38 -'!E45,'- 38 -'!H45)</f>
        <v>299691</v>
      </c>
      <c r="C45" s="278">
        <f>B45/'- 3 -'!D45</f>
        <v>0.03030610387509101</v>
      </c>
      <c r="D45" s="308">
        <f>B45/'- 7 -'!F45</f>
        <v>205.5493827160494</v>
      </c>
    </row>
    <row r="46" spans="1:4" ht="13.5" customHeight="1">
      <c r="A46" s="388" t="s">
        <v>361</v>
      </c>
      <c r="B46" s="309">
        <f>SUM('- 38 -'!B46,'- 38 -'!E46,'- 38 -'!H46)</f>
        <v>6498843</v>
      </c>
      <c r="C46" s="279">
        <f>B46/'- 3 -'!D46</f>
        <v>0.025936391193986965</v>
      </c>
      <c r="D46" s="309">
        <f>B46/'- 7 -'!F46</f>
        <v>210.8439477013918</v>
      </c>
    </row>
    <row r="47" spans="1:4" ht="13.5" customHeight="1">
      <c r="A47" s="387" t="s">
        <v>365</v>
      </c>
      <c r="B47" s="308">
        <f>SUM('- 38 -'!B47,'- 38 -'!E47,'- 38 -'!H47)</f>
        <v>246983</v>
      </c>
      <c r="C47" s="278">
        <f>B47/'- 3 -'!D47</f>
        <v>0.044403505709299546</v>
      </c>
      <c r="D47" s="308">
        <f>B47/'- 7 -'!F47</f>
        <v>400.43937870877784</v>
      </c>
    </row>
    <row r="48" spans="1:4" ht="4.5" customHeight="1">
      <c r="A48" s="389"/>
      <c r="B48" s="310"/>
      <c r="C48" s="162"/>
      <c r="D48" s="310"/>
    </row>
    <row r="49" spans="1:4" ht="13.5" customHeight="1">
      <c r="A49" s="383" t="s">
        <v>362</v>
      </c>
      <c r="B49" s="311">
        <f>SUM(B11:B47)</f>
        <v>28988951.33</v>
      </c>
      <c r="C49" s="81">
        <f>B49/'- 3 -'!D49</f>
        <v>0.021513172927068277</v>
      </c>
      <c r="D49" s="311">
        <f>B49/'- 7 -'!F49</f>
        <v>161.8097590387472</v>
      </c>
    </row>
    <row r="50" spans="1:4" ht="4.5" customHeight="1">
      <c r="A50" s="389" t="s">
        <v>15</v>
      </c>
      <c r="B50" s="310"/>
      <c r="C50" s="162"/>
      <c r="D50" s="310"/>
    </row>
    <row r="51" spans="1:4" ht="13.5" customHeight="1">
      <c r="A51" s="388" t="s">
        <v>363</v>
      </c>
      <c r="B51" s="309">
        <f>SUM('- 38 -'!B51,'- 38 -'!E51,'- 38 -'!H51)</f>
        <v>12020</v>
      </c>
      <c r="C51" s="279">
        <f>B51/'- 3 -'!D51</f>
        <v>0.009514130304008916</v>
      </c>
      <c r="D51" s="309">
        <f>B51/'- 7 -'!F51</f>
        <v>78.56209150326798</v>
      </c>
    </row>
    <row r="52" spans="1:4" ht="13.5" customHeight="1">
      <c r="A52" s="387" t="s">
        <v>364</v>
      </c>
      <c r="B52" s="308">
        <f>SUM('- 38 -'!B52,'- 38 -'!E52,'- 38 -'!H52)</f>
        <v>34374</v>
      </c>
      <c r="C52" s="278">
        <f>B52/'- 3 -'!D52</f>
        <v>0.014415244076577682</v>
      </c>
      <c r="D52" s="308">
        <f>B52/'- 7 -'!F52</f>
        <v>125.91208791208791</v>
      </c>
    </row>
    <row r="53" spans="1:5" ht="49.5" customHeight="1">
      <c r="A53" s="324"/>
      <c r="B53" s="324"/>
      <c r="C53" s="324"/>
      <c r="D53" s="324"/>
      <c r="E53" s="324"/>
    </row>
    <row r="54" ht="15" customHeight="1">
      <c r="A54" s="9" t="s">
        <v>543</v>
      </c>
    </row>
    <row r="55" ht="14.25" customHeight="1">
      <c r="A55" s="479" t="s">
        <v>544</v>
      </c>
    </row>
    <row r="56" ht="12" customHeight="1">
      <c r="A56" s="3"/>
    </row>
    <row r="57" ht="12" customHeight="1">
      <c r="A57" s="3"/>
    </row>
    <row r="58" ht="12" customHeight="1">
      <c r="A58" s="3"/>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8"/>
  <sheetViews>
    <sheetView showGridLines="0" showZeros="0" workbookViewId="0" topLeftCell="A1">
      <selection activeCell="A1" sqref="A1"/>
    </sheetView>
  </sheetViews>
  <sheetFormatPr defaultColWidth="14.83203125" defaultRowHeight="12"/>
  <cols>
    <col min="1" max="1" width="31.83203125" style="67" customWidth="1"/>
    <col min="2" max="2" width="16.83203125" style="67" customWidth="1"/>
    <col min="3" max="3" width="13.83203125" style="67" customWidth="1"/>
    <col min="4" max="4" width="15.83203125" style="67" customWidth="1"/>
    <col min="5" max="5" width="14.83203125" style="67" customWidth="1"/>
    <col min="6" max="6" width="12.83203125" style="67" customWidth="1"/>
    <col min="7" max="7" width="16.83203125" style="67" customWidth="1"/>
    <col min="8" max="8" width="12.83203125" style="67" customWidth="1"/>
    <col min="9" max="10" width="14.83203125" style="67" customWidth="1"/>
    <col min="11" max="11" width="19.5" style="67" customWidth="1"/>
    <col min="12" max="16384" width="14.83203125" style="67" customWidth="1"/>
  </cols>
  <sheetData>
    <row r="1" ht="6.75" customHeight="1">
      <c r="A1" s="65"/>
    </row>
    <row r="2" spans="1:8" ht="15.75" customHeight="1">
      <c r="A2" s="474" t="str">
        <f>"  SUMMARY"&amp;REPLACE(REVYEAR,1,8,"")</f>
        <v>  SUMMARY OF OPERATING FUND REVENUE: 2002/2003 ACTUAL</v>
      </c>
      <c r="B2" s="85"/>
      <c r="C2" s="85"/>
      <c r="D2" s="85"/>
      <c r="E2" s="85"/>
      <c r="F2" s="85"/>
      <c r="G2" s="85"/>
      <c r="H2" s="85"/>
    </row>
    <row r="3" ht="15.75" customHeight="1">
      <c r="A3" s="87"/>
    </row>
    <row r="4" spans="2:8" ht="15.75" customHeight="1">
      <c r="B4" s="116"/>
      <c r="C4" s="146"/>
      <c r="D4" s="146"/>
      <c r="E4" s="116"/>
      <c r="F4" s="116"/>
      <c r="G4" s="116"/>
      <c r="H4" s="116"/>
    </row>
    <row r="5" spans="2:8" ht="15.75" customHeight="1">
      <c r="B5" s="43"/>
      <c r="C5" s="116"/>
      <c r="D5" s="116"/>
      <c r="E5" s="116"/>
      <c r="F5" s="116"/>
      <c r="G5" s="116"/>
      <c r="H5" s="116"/>
    </row>
    <row r="6" spans="2:8" ht="15.75" customHeight="1">
      <c r="B6" s="126" t="s">
        <v>134</v>
      </c>
      <c r="C6" s="103"/>
      <c r="D6" s="103"/>
      <c r="E6" s="103"/>
      <c r="F6" s="103"/>
      <c r="G6" s="103"/>
      <c r="H6" s="104"/>
    </row>
    <row r="7" spans="2:8" ht="15.75" customHeight="1">
      <c r="B7" s="53" t="s">
        <v>147</v>
      </c>
      <c r="C7" s="51"/>
      <c r="D7" s="51"/>
      <c r="E7" s="117" t="s">
        <v>69</v>
      </c>
      <c r="F7" s="117" t="s">
        <v>15</v>
      </c>
      <c r="G7" s="117" t="s">
        <v>133</v>
      </c>
      <c r="H7" s="117" t="s">
        <v>15</v>
      </c>
    </row>
    <row r="8" spans="1:8" ht="15.75" customHeight="1">
      <c r="A8" s="35"/>
      <c r="B8" s="142"/>
      <c r="C8" s="107"/>
      <c r="D8" s="107"/>
      <c r="E8" s="119" t="s">
        <v>168</v>
      </c>
      <c r="F8" s="119" t="s">
        <v>169</v>
      </c>
      <c r="G8" s="119" t="s">
        <v>170</v>
      </c>
      <c r="H8" s="119" t="s">
        <v>15</v>
      </c>
    </row>
    <row r="9" spans="1:10" ht="15.75" customHeight="1">
      <c r="A9" s="415" t="s">
        <v>112</v>
      </c>
      <c r="B9" s="121" t="s">
        <v>161</v>
      </c>
      <c r="C9" s="121" t="s">
        <v>141</v>
      </c>
      <c r="D9" s="121" t="s">
        <v>142</v>
      </c>
      <c r="E9" s="121" t="s">
        <v>164</v>
      </c>
      <c r="F9" s="121" t="s">
        <v>186</v>
      </c>
      <c r="G9" s="121" t="s">
        <v>187</v>
      </c>
      <c r="H9" s="121" t="s">
        <v>69</v>
      </c>
      <c r="J9" s="82" t="s">
        <v>218</v>
      </c>
    </row>
    <row r="10" spans="1:8" ht="4.5" customHeight="1">
      <c r="A10" s="62"/>
      <c r="B10" s="122"/>
      <c r="C10" s="122"/>
      <c r="D10" s="122"/>
      <c r="E10" s="122"/>
      <c r="F10" s="122"/>
      <c r="G10" s="122"/>
      <c r="H10" s="122"/>
    </row>
    <row r="11" spans="1:12" ht="13.5" customHeight="1">
      <c r="A11" s="387" t="s">
        <v>327</v>
      </c>
      <c r="B11" s="278">
        <f>'- 42 -'!G11</f>
        <v>0.6108982915706542</v>
      </c>
      <c r="C11" s="278">
        <f>'- 43 -'!C11</f>
        <v>0</v>
      </c>
      <c r="D11" s="278">
        <f>'- 43 -'!E11</f>
        <v>0.3692924390288626</v>
      </c>
      <c r="E11" s="278">
        <f>'- 43 -'!G11</f>
        <v>0.005063820616114563</v>
      </c>
      <c r="F11" s="278">
        <f>'- 43 -'!I11</f>
        <v>0</v>
      </c>
      <c r="G11" s="278">
        <f>'- 44 -'!C11</f>
        <v>0.005442245205846766</v>
      </c>
      <c r="H11" s="278">
        <f>'- 44 -'!E11</f>
        <v>0.009303203578521818</v>
      </c>
      <c r="J11" s="162">
        <f>SUM(B11:H11)</f>
        <v>0.9999999999999999</v>
      </c>
      <c r="K11" s="67" t="s">
        <v>161</v>
      </c>
      <c r="L11" s="80">
        <f>B49</f>
        <v>0.5756524153430688</v>
      </c>
    </row>
    <row r="12" spans="1:12" ht="13.5" customHeight="1">
      <c r="A12" s="388" t="s">
        <v>328</v>
      </c>
      <c r="B12" s="279">
        <f>'- 42 -'!G12</f>
        <v>0.6329535596659414</v>
      </c>
      <c r="C12" s="279">
        <f>'- 43 -'!C12</f>
        <v>0.00449817895457895</v>
      </c>
      <c r="D12" s="279">
        <f>'- 43 -'!E12</f>
        <v>0.32699619833524185</v>
      </c>
      <c r="E12" s="279">
        <f>'- 43 -'!G12</f>
        <v>0.012021289063175702</v>
      </c>
      <c r="F12" s="279">
        <f>'- 43 -'!I12</f>
        <v>0.012214864331899907</v>
      </c>
      <c r="G12" s="279">
        <f>'- 44 -'!C12</f>
        <v>0.006875624889725342</v>
      </c>
      <c r="H12" s="279">
        <f>'- 44 -'!E12</f>
        <v>0.004440284759436916</v>
      </c>
      <c r="J12" s="162">
        <f aca="true" t="shared" si="0" ref="J12:J47">SUM(B12:H12)</f>
        <v>1</v>
      </c>
      <c r="K12" s="67" t="s">
        <v>141</v>
      </c>
      <c r="L12" s="80">
        <f>C49</f>
        <v>0.010846013096202903</v>
      </c>
    </row>
    <row r="13" spans="1:12" ht="13.5" customHeight="1">
      <c r="A13" s="387" t="s">
        <v>329</v>
      </c>
      <c r="B13" s="278">
        <f>'- 42 -'!G13</f>
        <v>0.5939613258431647</v>
      </c>
      <c r="C13" s="278">
        <f>'- 43 -'!C13</f>
        <v>0.0003083240609715885</v>
      </c>
      <c r="D13" s="278">
        <f>'- 43 -'!E13</f>
        <v>0.37764432372349993</v>
      </c>
      <c r="E13" s="278">
        <f>'- 43 -'!G13</f>
        <v>0.003987678915619223</v>
      </c>
      <c r="F13" s="278">
        <f>'- 43 -'!I13</f>
        <v>0.010197460290061758</v>
      </c>
      <c r="G13" s="278">
        <f>'- 44 -'!C13</f>
        <v>0.01212090540539886</v>
      </c>
      <c r="H13" s="278">
        <f>'- 44 -'!E13</f>
        <v>0.0017799817612839288</v>
      </c>
      <c r="J13" s="162">
        <f t="shared" si="0"/>
        <v>1.0000000000000002</v>
      </c>
      <c r="K13" s="67" t="s">
        <v>142</v>
      </c>
      <c r="L13" s="80">
        <f>D49</f>
        <v>0.3674311280152786</v>
      </c>
    </row>
    <row r="14" spans="1:12" ht="13.5" customHeight="1">
      <c r="A14" s="388" t="s">
        <v>366</v>
      </c>
      <c r="B14" s="279">
        <f>'- 42 -'!G14</f>
        <v>0.6252143906717086</v>
      </c>
      <c r="C14" s="279">
        <f>'- 43 -'!C14</f>
        <v>0.07239539795859386</v>
      </c>
      <c r="D14" s="279">
        <f>'- 43 -'!E14</f>
        <v>0.2929546112559606</v>
      </c>
      <c r="E14" s="279">
        <f>'- 43 -'!G14</f>
        <v>0.006691684635695914</v>
      </c>
      <c r="F14" s="279">
        <f>'- 43 -'!I14</f>
        <v>0</v>
      </c>
      <c r="G14" s="279">
        <f>'- 44 -'!C14</f>
        <v>0.0018277995462447514</v>
      </c>
      <c r="H14" s="279">
        <f>'- 44 -'!E14</f>
        <v>0.0009161159317962264</v>
      </c>
      <c r="J14" s="162">
        <f t="shared" si="0"/>
        <v>0.9999999999999999</v>
      </c>
      <c r="K14" s="67" t="s">
        <v>195</v>
      </c>
      <c r="L14" s="80">
        <f>E49</f>
        <v>0.009076939117827455</v>
      </c>
    </row>
    <row r="15" spans="1:12" ht="13.5" customHeight="1">
      <c r="A15" s="387" t="s">
        <v>330</v>
      </c>
      <c r="B15" s="278">
        <f>'- 42 -'!G15</f>
        <v>0.5355058476437536</v>
      </c>
      <c r="C15" s="278">
        <f>'- 43 -'!C15</f>
        <v>0.0019468219420386932</v>
      </c>
      <c r="D15" s="278">
        <f>'- 43 -'!E15</f>
        <v>0.43675069881706224</v>
      </c>
      <c r="E15" s="278">
        <f>'- 43 -'!G15</f>
        <v>0.002833601436562927</v>
      </c>
      <c r="F15" s="278">
        <f>'- 43 -'!I15</f>
        <v>0.011497130890730409</v>
      </c>
      <c r="G15" s="278">
        <f>'- 44 -'!C15</f>
        <v>0.011119602446665326</v>
      </c>
      <c r="H15" s="278">
        <f>'- 44 -'!E15</f>
        <v>0.00034629682318672186</v>
      </c>
      <c r="J15" s="162">
        <f t="shared" si="0"/>
        <v>1</v>
      </c>
      <c r="K15" s="67" t="s">
        <v>165</v>
      </c>
      <c r="L15" s="80">
        <f>F49</f>
        <v>0.021144814755440812</v>
      </c>
    </row>
    <row r="16" spans="1:12" ht="13.5" customHeight="1">
      <c r="A16" s="388" t="s">
        <v>331</v>
      </c>
      <c r="B16" s="279">
        <f>'- 42 -'!G16</f>
        <v>0.5759664396147823</v>
      </c>
      <c r="C16" s="279">
        <f>'- 43 -'!C16</f>
        <v>0.011674448433018195</v>
      </c>
      <c r="D16" s="279">
        <f>'- 43 -'!E16</f>
        <v>0.2683527510215536</v>
      </c>
      <c r="E16" s="279">
        <f>'- 43 -'!G16</f>
        <v>0.022633112277801414</v>
      </c>
      <c r="F16" s="279">
        <f>'- 43 -'!I16</f>
        <v>0.004901388485384341</v>
      </c>
      <c r="G16" s="279">
        <f>'- 44 -'!C16</f>
        <v>0.10954040657068305</v>
      </c>
      <c r="H16" s="279">
        <f>'- 44 -'!E16</f>
        <v>0.006931453596777081</v>
      </c>
      <c r="J16" s="162">
        <f t="shared" si="0"/>
        <v>1</v>
      </c>
      <c r="K16" s="67" t="s">
        <v>133</v>
      </c>
      <c r="L16" s="80">
        <f>G49</f>
        <v>0.012043527854809324</v>
      </c>
    </row>
    <row r="17" spans="1:12" ht="13.5" customHeight="1">
      <c r="A17" s="387" t="s">
        <v>332</v>
      </c>
      <c r="B17" s="278">
        <f>'- 42 -'!G17</f>
        <v>0.5633762108348349</v>
      </c>
      <c r="C17" s="278">
        <f>'- 43 -'!C17</f>
        <v>0</v>
      </c>
      <c r="D17" s="278">
        <f>'- 43 -'!E17</f>
        <v>0.37128095225073293</v>
      </c>
      <c r="E17" s="278">
        <f>'- 43 -'!G17</f>
        <v>0.0022701992328237742</v>
      </c>
      <c r="F17" s="278">
        <f>'- 43 -'!I17</f>
        <v>0.05497258515499619</v>
      </c>
      <c r="G17" s="278">
        <f>'- 44 -'!C17</f>
        <v>0.00021853157216118003</v>
      </c>
      <c r="H17" s="278">
        <f>'- 44 -'!E17</f>
        <v>0.007881520954451065</v>
      </c>
      <c r="J17" s="162">
        <f t="shared" si="0"/>
        <v>1</v>
      </c>
      <c r="K17" s="285" t="s">
        <v>69</v>
      </c>
      <c r="L17" s="80">
        <f>H49</f>
        <v>0.0038051618173721683</v>
      </c>
    </row>
    <row r="18" spans="1:10" ht="13.5" customHeight="1">
      <c r="A18" s="388" t="s">
        <v>333</v>
      </c>
      <c r="B18" s="279">
        <f>'- 42 -'!G18</f>
        <v>0.49336386153471234</v>
      </c>
      <c r="C18" s="279">
        <f>'- 43 -'!C18</f>
        <v>0.14757327681956336</v>
      </c>
      <c r="D18" s="279">
        <f>'- 43 -'!E18</f>
        <v>0.04083098208389636</v>
      </c>
      <c r="E18" s="279">
        <f>'- 43 -'!G18</f>
        <v>0</v>
      </c>
      <c r="F18" s="279">
        <f>'- 43 -'!I18</f>
        <v>0.2802608229682981</v>
      </c>
      <c r="G18" s="279">
        <f>'- 44 -'!C18</f>
        <v>0.03562393363419339</v>
      </c>
      <c r="H18" s="279">
        <f>'- 44 -'!E18</f>
        <v>0.002347122959336388</v>
      </c>
      <c r="J18" s="162">
        <f t="shared" si="0"/>
        <v>0.9999999999999999</v>
      </c>
    </row>
    <row r="19" spans="1:12" ht="13.5" customHeight="1">
      <c r="A19" s="387" t="s">
        <v>334</v>
      </c>
      <c r="B19" s="278">
        <f>'- 42 -'!G19</f>
        <v>0.6756387387143207</v>
      </c>
      <c r="C19" s="278">
        <f>'- 43 -'!C19</f>
        <v>0</v>
      </c>
      <c r="D19" s="278">
        <f>'- 43 -'!E19</f>
        <v>0.30788422373298713</v>
      </c>
      <c r="E19" s="278">
        <f>'- 43 -'!G19</f>
        <v>0.007008317604727526</v>
      </c>
      <c r="F19" s="278">
        <f>'- 43 -'!I19</f>
        <v>0</v>
      </c>
      <c r="G19" s="278">
        <f>'- 44 -'!C19</f>
        <v>0.00022189703543445765</v>
      </c>
      <c r="H19" s="278">
        <f>'- 44 -'!E19</f>
        <v>0.009246822912530215</v>
      </c>
      <c r="J19" s="162">
        <f t="shared" si="0"/>
        <v>1</v>
      </c>
      <c r="L19" s="80">
        <f>SUM(L11:L17)</f>
        <v>1</v>
      </c>
    </row>
    <row r="20" spans="1:10" ht="13.5" customHeight="1">
      <c r="A20" s="388" t="s">
        <v>335</v>
      </c>
      <c r="B20" s="279">
        <f>'- 42 -'!G20</f>
        <v>0.6854757521931605</v>
      </c>
      <c r="C20" s="279">
        <f>'- 43 -'!C20</f>
        <v>0</v>
      </c>
      <c r="D20" s="279">
        <f>'- 43 -'!E20</f>
        <v>0.29168364336837993</v>
      </c>
      <c r="E20" s="279">
        <f>'- 43 -'!G20</f>
        <v>0.009073103393345352</v>
      </c>
      <c r="F20" s="279">
        <f>'- 43 -'!I20</f>
        <v>0</v>
      </c>
      <c r="G20" s="279">
        <f>'- 44 -'!C20</f>
        <v>0.009401515490395357</v>
      </c>
      <c r="H20" s="279">
        <f>'- 44 -'!E20</f>
        <v>0.004365985554718887</v>
      </c>
      <c r="J20" s="162">
        <f t="shared" si="0"/>
        <v>1</v>
      </c>
    </row>
    <row r="21" spans="1:10" ht="13.5" customHeight="1">
      <c r="A21" s="387" t="s">
        <v>336</v>
      </c>
      <c r="B21" s="278">
        <f>'- 42 -'!G21</f>
        <v>0.6301920728315046</v>
      </c>
      <c r="C21" s="278">
        <f>'- 43 -'!C21</f>
        <v>0</v>
      </c>
      <c r="D21" s="278">
        <f>'- 43 -'!E21</f>
        <v>0.35636803965301783</v>
      </c>
      <c r="E21" s="278">
        <f>'- 43 -'!G21</f>
        <v>0.0015283998776317615</v>
      </c>
      <c r="F21" s="278">
        <f>'- 43 -'!I21</f>
        <v>0</v>
      </c>
      <c r="G21" s="278">
        <f>'- 44 -'!C21</f>
        <v>0.008810172992413717</v>
      </c>
      <c r="H21" s="278">
        <f>'- 44 -'!E21</f>
        <v>0.0031013146454320546</v>
      </c>
      <c r="J21" s="162">
        <f t="shared" si="0"/>
        <v>1</v>
      </c>
    </row>
    <row r="22" spans="1:10" ht="13.5" customHeight="1">
      <c r="A22" s="388" t="s">
        <v>337</v>
      </c>
      <c r="B22" s="279">
        <f>'- 42 -'!G22</f>
        <v>0.718961514505642</v>
      </c>
      <c r="C22" s="279">
        <f>'- 43 -'!C22</f>
        <v>0.001368372091643217</v>
      </c>
      <c r="D22" s="279">
        <f>'- 43 -'!E22</f>
        <v>0.24553764295974706</v>
      </c>
      <c r="E22" s="279">
        <f>'- 43 -'!G22</f>
        <v>0.0011374080604260623</v>
      </c>
      <c r="F22" s="279">
        <f>'- 43 -'!I22</f>
        <v>0.024446113819355676</v>
      </c>
      <c r="G22" s="279">
        <f>'- 44 -'!C22</f>
        <v>0</v>
      </c>
      <c r="H22" s="279">
        <f>'- 44 -'!E22</f>
        <v>0.008548948563185879</v>
      </c>
      <c r="J22" s="162">
        <f t="shared" si="0"/>
        <v>0.9999999999999999</v>
      </c>
    </row>
    <row r="23" spans="1:10" ht="13.5" customHeight="1">
      <c r="A23" s="387" t="s">
        <v>338</v>
      </c>
      <c r="B23" s="278">
        <f>'- 42 -'!G23</f>
        <v>0.6932848392644638</v>
      </c>
      <c r="C23" s="278">
        <f>'- 43 -'!C23</f>
        <v>0</v>
      </c>
      <c r="D23" s="278">
        <f>'- 43 -'!E23</f>
        <v>0.24986031507152698</v>
      </c>
      <c r="E23" s="278">
        <f>'- 43 -'!G23</f>
        <v>0.008356366251829273</v>
      </c>
      <c r="F23" s="278">
        <f>'- 43 -'!I23</f>
        <v>0.034151927013244675</v>
      </c>
      <c r="G23" s="278">
        <f>'- 44 -'!C23</f>
        <v>0.0038325182498370456</v>
      </c>
      <c r="H23" s="278">
        <f>'- 44 -'!E23</f>
        <v>0.010514034149098182</v>
      </c>
      <c r="J23" s="162">
        <f t="shared" si="0"/>
        <v>0.9999999999999998</v>
      </c>
    </row>
    <row r="24" spans="1:10" ht="13.5" customHeight="1">
      <c r="A24" s="388" t="s">
        <v>339</v>
      </c>
      <c r="B24" s="279">
        <f>'- 42 -'!G24</f>
        <v>0.5930140214096556</v>
      </c>
      <c r="C24" s="279">
        <f>'- 43 -'!C24</f>
        <v>0.0006227081082838676</v>
      </c>
      <c r="D24" s="279">
        <f>'- 43 -'!E24</f>
        <v>0.3765215776524526</v>
      </c>
      <c r="E24" s="279">
        <f>'- 43 -'!G24</f>
        <v>0.006021091726248325</v>
      </c>
      <c r="F24" s="279">
        <f>'- 43 -'!I24</f>
        <v>0.005423008696091997</v>
      </c>
      <c r="G24" s="279">
        <f>'- 44 -'!C24</f>
        <v>0.01589603708213056</v>
      </c>
      <c r="H24" s="279">
        <f>'- 44 -'!E24</f>
        <v>0.0025015553251370166</v>
      </c>
      <c r="J24" s="162">
        <f t="shared" si="0"/>
        <v>1</v>
      </c>
    </row>
    <row r="25" spans="1:10" ht="13.5" customHeight="1">
      <c r="A25" s="387" t="s">
        <v>340</v>
      </c>
      <c r="B25" s="278">
        <f>'- 42 -'!G25</f>
        <v>0.5775268153966764</v>
      </c>
      <c r="C25" s="278">
        <f>'- 43 -'!C25</f>
        <v>0.00018761671504947846</v>
      </c>
      <c r="D25" s="278">
        <f>'- 43 -'!E25</f>
        <v>0.40170224581645203</v>
      </c>
      <c r="E25" s="278">
        <f>'- 43 -'!G25</f>
        <v>0.003357591622784445</v>
      </c>
      <c r="F25" s="278">
        <f>'- 43 -'!I25</f>
        <v>2.302017167323132E-05</v>
      </c>
      <c r="G25" s="278">
        <f>'- 44 -'!C25</f>
        <v>0.01167954579654259</v>
      </c>
      <c r="H25" s="278">
        <f>'- 44 -'!E25</f>
        <v>0.005523164480821853</v>
      </c>
      <c r="J25" s="162">
        <f t="shared" si="0"/>
        <v>1</v>
      </c>
    </row>
    <row r="26" spans="1:10" ht="13.5" customHeight="1">
      <c r="A26" s="388" t="s">
        <v>341</v>
      </c>
      <c r="B26" s="279">
        <f>'- 42 -'!G26</f>
        <v>0.6229418551794051</v>
      </c>
      <c r="C26" s="279">
        <f>'- 43 -'!C26</f>
        <v>0.017198528005407727</v>
      </c>
      <c r="D26" s="279">
        <f>'- 43 -'!E26</f>
        <v>0.32044372705032426</v>
      </c>
      <c r="E26" s="279">
        <f>'- 43 -'!G26</f>
        <v>0.013738688411821423</v>
      </c>
      <c r="F26" s="279">
        <f>'- 43 -'!I26</f>
        <v>0.012618558915832145</v>
      </c>
      <c r="G26" s="279">
        <f>'- 44 -'!C26</f>
        <v>0.00957720622283188</v>
      </c>
      <c r="H26" s="279">
        <f>'- 44 -'!E26</f>
        <v>0.003481436214377446</v>
      </c>
      <c r="J26" s="162">
        <f t="shared" si="0"/>
        <v>1</v>
      </c>
    </row>
    <row r="27" spans="1:10" ht="13.5" customHeight="1">
      <c r="A27" s="387" t="s">
        <v>342</v>
      </c>
      <c r="B27" s="278">
        <f>'- 42 -'!G27</f>
        <v>0.6722560227828457</v>
      </c>
      <c r="C27" s="278">
        <f>'- 43 -'!C27</f>
        <v>0.0014341780371459742</v>
      </c>
      <c r="D27" s="278">
        <f>'- 43 -'!E27</f>
        <v>0.3041653550476936</v>
      </c>
      <c r="E27" s="278">
        <f>'- 43 -'!G27</f>
        <v>0.00442260769851264</v>
      </c>
      <c r="F27" s="278">
        <f>'- 43 -'!I27</f>
        <v>0.012163153801355976</v>
      </c>
      <c r="G27" s="278">
        <f>'- 44 -'!C27</f>
        <v>0.0014328678632176876</v>
      </c>
      <c r="H27" s="278">
        <f>'- 44 -'!E27</f>
        <v>0.004125814769228469</v>
      </c>
      <c r="J27" s="162">
        <f t="shared" si="0"/>
        <v>1.0000000000000002</v>
      </c>
    </row>
    <row r="28" spans="1:10" ht="13.5" customHeight="1">
      <c r="A28" s="388" t="s">
        <v>343</v>
      </c>
      <c r="B28" s="279">
        <f>'- 42 -'!G28</f>
        <v>0.5889193606001882</v>
      </c>
      <c r="C28" s="279">
        <f>'- 43 -'!C28</f>
        <v>0.01560007779410755</v>
      </c>
      <c r="D28" s="279">
        <f>'- 43 -'!E28</f>
        <v>0.34278818074003004</v>
      </c>
      <c r="E28" s="279">
        <f>'- 43 -'!G28</f>
        <v>0.0008923334995884958</v>
      </c>
      <c r="F28" s="279">
        <f>'- 43 -'!I28</f>
        <v>0.04800295690200392</v>
      </c>
      <c r="G28" s="279">
        <f>'- 44 -'!C28</f>
        <v>0.001989557078704226</v>
      </c>
      <c r="H28" s="279">
        <f>'- 44 -'!E28</f>
        <v>0.0018075333853775509</v>
      </c>
      <c r="J28" s="162">
        <f t="shared" si="0"/>
        <v>1</v>
      </c>
    </row>
    <row r="29" spans="1:10" ht="13.5" customHeight="1">
      <c r="A29" s="387" t="s">
        <v>344</v>
      </c>
      <c r="B29" s="278">
        <f>'- 42 -'!G29</f>
        <v>0.4763797616445705</v>
      </c>
      <c r="C29" s="278">
        <f>'- 43 -'!C29</f>
        <v>4.5197342971648905E-05</v>
      </c>
      <c r="D29" s="278">
        <f>'- 43 -'!E29</f>
        <v>0.4974022511231637</v>
      </c>
      <c r="E29" s="278">
        <f>'- 43 -'!G29</f>
        <v>0.00800184451814646</v>
      </c>
      <c r="F29" s="278">
        <f>'- 43 -'!I29</f>
        <v>0.0004541117986312767</v>
      </c>
      <c r="G29" s="278">
        <f>'- 44 -'!C29</f>
        <v>0.016173990680638354</v>
      </c>
      <c r="H29" s="278">
        <f>'- 44 -'!E29</f>
        <v>0.001542842891878022</v>
      </c>
      <c r="J29" s="162">
        <f t="shared" si="0"/>
        <v>1.0000000000000002</v>
      </c>
    </row>
    <row r="30" spans="1:10" ht="13.5" customHeight="1">
      <c r="A30" s="388" t="s">
        <v>345</v>
      </c>
      <c r="B30" s="279">
        <f>'- 42 -'!G30</f>
        <v>0.6372580492628966</v>
      </c>
      <c r="C30" s="279">
        <f>'- 43 -'!C30</f>
        <v>0</v>
      </c>
      <c r="D30" s="279">
        <f>'- 43 -'!E30</f>
        <v>0.35430093292654397</v>
      </c>
      <c r="E30" s="279">
        <f>'- 43 -'!G30</f>
        <v>0.0033409482946691912</v>
      </c>
      <c r="F30" s="279">
        <f>'- 43 -'!I30</f>
        <v>0</v>
      </c>
      <c r="G30" s="279">
        <f>'- 44 -'!C30</f>
        <v>0.0032711559993042487</v>
      </c>
      <c r="H30" s="279">
        <f>'- 44 -'!E30</f>
        <v>0.001828913516585986</v>
      </c>
      <c r="J30" s="162">
        <f t="shared" si="0"/>
        <v>1.0000000000000002</v>
      </c>
    </row>
    <row r="31" spans="1:10" ht="13.5" customHeight="1">
      <c r="A31" s="387" t="s">
        <v>346</v>
      </c>
      <c r="B31" s="278">
        <f>'- 42 -'!G31</f>
        <v>0.6196784894109867</v>
      </c>
      <c r="C31" s="278">
        <f>'- 43 -'!C31</f>
        <v>0.0007164734809966995</v>
      </c>
      <c r="D31" s="278">
        <f>'- 43 -'!E31</f>
        <v>0.3512331179978271</v>
      </c>
      <c r="E31" s="278">
        <f>'- 43 -'!G31</f>
        <v>0.00045442783013444635</v>
      </c>
      <c r="F31" s="278">
        <f>'- 43 -'!I31</f>
        <v>0.020474144000774002</v>
      </c>
      <c r="G31" s="278">
        <f>'- 44 -'!C31</f>
        <v>0.004829476080993187</v>
      </c>
      <c r="H31" s="278">
        <f>'- 44 -'!E31</f>
        <v>0.002613871198287919</v>
      </c>
      <c r="J31" s="162">
        <f t="shared" si="0"/>
        <v>1</v>
      </c>
    </row>
    <row r="32" spans="1:10" ht="13.5" customHeight="1">
      <c r="A32" s="388" t="s">
        <v>347</v>
      </c>
      <c r="B32" s="279">
        <f>'- 42 -'!G32</f>
        <v>0.5983974363504808</v>
      </c>
      <c r="C32" s="279">
        <f>'- 43 -'!C32</f>
        <v>6.664391454941358E-05</v>
      </c>
      <c r="D32" s="279">
        <f>'- 43 -'!E32</f>
        <v>0.3890255010609366</v>
      </c>
      <c r="E32" s="279">
        <f>'- 43 -'!G32</f>
        <v>0.004851656038454324</v>
      </c>
      <c r="F32" s="279">
        <f>'- 43 -'!I32</f>
        <v>0.00020417224410268104</v>
      </c>
      <c r="G32" s="279">
        <f>'- 44 -'!C32</f>
        <v>0.0006038263239693136</v>
      </c>
      <c r="H32" s="279">
        <f>'- 44 -'!E32</f>
        <v>0.0068507640675068825</v>
      </c>
      <c r="J32" s="162">
        <f t="shared" si="0"/>
        <v>0.9999999999999999</v>
      </c>
    </row>
    <row r="33" spans="1:10" ht="13.5" customHeight="1">
      <c r="A33" s="387" t="s">
        <v>348</v>
      </c>
      <c r="B33" s="278">
        <f>'- 42 -'!G33</f>
        <v>0.6335709307492885</v>
      </c>
      <c r="C33" s="278">
        <f>'- 43 -'!C33</f>
        <v>0.00071077375841043</v>
      </c>
      <c r="D33" s="278">
        <f>'- 43 -'!E33</f>
        <v>0.343665131043219</v>
      </c>
      <c r="E33" s="278">
        <f>'- 43 -'!G33</f>
        <v>0.0016486619085545552</v>
      </c>
      <c r="F33" s="278">
        <f>'- 43 -'!I33</f>
        <v>0.01058393343726647</v>
      </c>
      <c r="G33" s="278">
        <f>'- 44 -'!C33</f>
        <v>0.0076040296739004415</v>
      </c>
      <c r="H33" s="278">
        <f>'- 44 -'!E33</f>
        <v>0.002216539429360673</v>
      </c>
      <c r="J33" s="162">
        <f t="shared" si="0"/>
        <v>1</v>
      </c>
    </row>
    <row r="34" spans="1:10" ht="13.5" customHeight="1">
      <c r="A34" s="388" t="s">
        <v>349</v>
      </c>
      <c r="B34" s="279">
        <f>'- 42 -'!G34</f>
        <v>0.5952359353138847</v>
      </c>
      <c r="C34" s="279">
        <f>'- 43 -'!C34</f>
        <v>0.0009967503496433596</v>
      </c>
      <c r="D34" s="279">
        <f>'- 43 -'!E34</f>
        <v>0.36906507918540726</v>
      </c>
      <c r="E34" s="279">
        <f>'- 43 -'!G34</f>
        <v>0.020440406102286316</v>
      </c>
      <c r="F34" s="279">
        <f>'- 43 -'!I34</f>
        <v>0.0003215341137645075</v>
      </c>
      <c r="G34" s="279">
        <f>'- 44 -'!C34</f>
        <v>0.008663915265414227</v>
      </c>
      <c r="H34" s="279">
        <f>'- 44 -'!E34</f>
        <v>0.005276379669599519</v>
      </c>
      <c r="J34" s="162">
        <f t="shared" si="0"/>
        <v>0.9999999999999999</v>
      </c>
    </row>
    <row r="35" spans="1:10" ht="13.5" customHeight="1">
      <c r="A35" s="387" t="s">
        <v>350</v>
      </c>
      <c r="B35" s="278">
        <f>'- 42 -'!G35</f>
        <v>0.6036430259655124</v>
      </c>
      <c r="C35" s="278">
        <f>'- 43 -'!C35</f>
        <v>0.0001832084366233729</v>
      </c>
      <c r="D35" s="278">
        <f>'- 43 -'!E35</f>
        <v>0.37453511661345334</v>
      </c>
      <c r="E35" s="278">
        <f>'- 43 -'!G35</f>
        <v>0.006601680185000093</v>
      </c>
      <c r="F35" s="278">
        <f>'- 43 -'!I35</f>
        <v>0.00028357200750917156</v>
      </c>
      <c r="G35" s="278">
        <f>'- 44 -'!C35</f>
        <v>0.013705162181658898</v>
      </c>
      <c r="H35" s="278">
        <f>'- 44 -'!E35</f>
        <v>0.0010482346102426608</v>
      </c>
      <c r="J35" s="162">
        <f t="shared" si="0"/>
        <v>0.9999999999999998</v>
      </c>
    </row>
    <row r="36" spans="1:10" ht="13.5" customHeight="1">
      <c r="A36" s="388" t="s">
        <v>351</v>
      </c>
      <c r="B36" s="279">
        <f>'- 42 -'!G36</f>
        <v>0.5757456465794181</v>
      </c>
      <c r="C36" s="279">
        <f>'- 43 -'!C36</f>
        <v>0.0009634765152295285</v>
      </c>
      <c r="D36" s="279">
        <f>'- 43 -'!E36</f>
        <v>0.36128185684308284</v>
      </c>
      <c r="E36" s="279">
        <f>'- 43 -'!G36</f>
        <v>0.004747068254707912</v>
      </c>
      <c r="F36" s="279">
        <f>'- 43 -'!I36</f>
        <v>0.047205969807541305</v>
      </c>
      <c r="G36" s="279">
        <f>'- 44 -'!C36</f>
        <v>0.0005999831026656609</v>
      </c>
      <c r="H36" s="279">
        <f>'- 44 -'!E36</f>
        <v>0.009455998897354654</v>
      </c>
      <c r="J36" s="162">
        <f t="shared" si="0"/>
        <v>0.9999999999999999</v>
      </c>
    </row>
    <row r="37" spans="1:10" ht="13.5" customHeight="1">
      <c r="A37" s="387" t="s">
        <v>352</v>
      </c>
      <c r="B37" s="278">
        <f>'- 42 -'!G37</f>
        <v>0.6847495254498939</v>
      </c>
      <c r="C37" s="278">
        <f>'- 43 -'!C37</f>
        <v>0.0005631662692093213</v>
      </c>
      <c r="D37" s="278">
        <f>'- 43 -'!E37</f>
        <v>0.3069511842676432</v>
      </c>
      <c r="E37" s="278">
        <f>'- 43 -'!G37</f>
        <v>0.0028328763784219654</v>
      </c>
      <c r="F37" s="278">
        <f>'- 43 -'!I37</f>
        <v>0</v>
      </c>
      <c r="G37" s="278">
        <f>'- 44 -'!C37</f>
        <v>0.0014866389152733454</v>
      </c>
      <c r="H37" s="278">
        <f>'- 44 -'!E37</f>
        <v>0.0034166087195583623</v>
      </c>
      <c r="J37" s="162">
        <f t="shared" si="0"/>
        <v>1</v>
      </c>
    </row>
    <row r="38" spans="1:10" ht="13.5" customHeight="1">
      <c r="A38" s="388" t="s">
        <v>353</v>
      </c>
      <c r="B38" s="279">
        <f>'- 42 -'!G38</f>
        <v>0.5985873346903953</v>
      </c>
      <c r="C38" s="279">
        <f>'- 43 -'!C38</f>
        <v>0.0002364473467209168</v>
      </c>
      <c r="D38" s="279">
        <f>'- 43 -'!E38</f>
        <v>0.3767956031109658</v>
      </c>
      <c r="E38" s="279">
        <f>'- 43 -'!G38</f>
        <v>0.013061297105216979</v>
      </c>
      <c r="F38" s="279">
        <f>'- 43 -'!I38</f>
        <v>0.0017705013729099862</v>
      </c>
      <c r="G38" s="279">
        <f>'- 44 -'!C38</f>
        <v>0.008771473212098138</v>
      </c>
      <c r="H38" s="279">
        <f>'- 44 -'!E38</f>
        <v>0.0007773431616929172</v>
      </c>
      <c r="J38" s="162">
        <f t="shared" si="0"/>
        <v>1</v>
      </c>
    </row>
    <row r="39" spans="1:10" ht="13.5" customHeight="1">
      <c r="A39" s="387" t="s">
        <v>354</v>
      </c>
      <c r="B39" s="278">
        <f>'- 42 -'!G39</f>
        <v>0.5699588847609706</v>
      </c>
      <c r="C39" s="278">
        <f>'- 43 -'!C39</f>
        <v>0</v>
      </c>
      <c r="D39" s="278">
        <f>'- 43 -'!E39</f>
        <v>0.4136969180298327</v>
      </c>
      <c r="E39" s="278">
        <f>'- 43 -'!G39</f>
        <v>0.003075212483827211</v>
      </c>
      <c r="F39" s="278">
        <f>'- 43 -'!I39</f>
        <v>0</v>
      </c>
      <c r="G39" s="278">
        <f>'- 44 -'!C39</f>
        <v>0.009010777772046409</v>
      </c>
      <c r="H39" s="278">
        <f>'- 44 -'!E39</f>
        <v>0.004258206953323068</v>
      </c>
      <c r="J39" s="162">
        <f t="shared" si="0"/>
        <v>1</v>
      </c>
    </row>
    <row r="40" spans="1:10" ht="13.5" customHeight="1">
      <c r="A40" s="388" t="s">
        <v>355</v>
      </c>
      <c r="B40" s="279">
        <f>'- 42 -'!G40</f>
        <v>0.5097635843341501</v>
      </c>
      <c r="C40" s="279">
        <f>'- 43 -'!C40</f>
        <v>0.00013945961097710664</v>
      </c>
      <c r="D40" s="279">
        <f>'- 43 -'!E40</f>
        <v>0.4520095798262417</v>
      </c>
      <c r="E40" s="279">
        <f>'- 43 -'!G40</f>
        <v>0.011447026906988693</v>
      </c>
      <c r="F40" s="279">
        <f>'- 43 -'!I40</f>
        <v>0.001189695384881915</v>
      </c>
      <c r="G40" s="279">
        <f>'- 44 -'!C40</f>
        <v>0.01849879287987722</v>
      </c>
      <c r="H40" s="279">
        <f>'- 44 -'!E40</f>
        <v>0.006951861056883246</v>
      </c>
      <c r="J40" s="162">
        <f t="shared" si="0"/>
        <v>1</v>
      </c>
    </row>
    <row r="41" spans="1:10" ht="13.5" customHeight="1">
      <c r="A41" s="387" t="s">
        <v>356</v>
      </c>
      <c r="B41" s="278">
        <f>'- 42 -'!G41</f>
        <v>0.594641195516297</v>
      </c>
      <c r="C41" s="278">
        <f>'- 43 -'!C41</f>
        <v>0</v>
      </c>
      <c r="D41" s="278">
        <f>'- 43 -'!E41</f>
        <v>0.37779793288898306</v>
      </c>
      <c r="E41" s="278">
        <f>'- 43 -'!G41</f>
        <v>0.0053648325009706165</v>
      </c>
      <c r="F41" s="278">
        <f>'- 43 -'!I41</f>
        <v>0.009878696182040566</v>
      </c>
      <c r="G41" s="278">
        <f>'- 44 -'!C41</f>
        <v>0.00611460572382356</v>
      </c>
      <c r="H41" s="278">
        <f>'- 44 -'!E41</f>
        <v>0.006202737187885198</v>
      </c>
      <c r="J41" s="162">
        <f t="shared" si="0"/>
        <v>1</v>
      </c>
    </row>
    <row r="42" spans="1:10" ht="13.5" customHeight="1">
      <c r="A42" s="388" t="s">
        <v>357</v>
      </c>
      <c r="B42" s="279">
        <f>'- 42 -'!G42</f>
        <v>0.6348540902442649</v>
      </c>
      <c r="C42" s="279">
        <f>'- 43 -'!C42</f>
        <v>0.00159998611851176</v>
      </c>
      <c r="D42" s="279">
        <f>'- 43 -'!E42</f>
        <v>0.30490662628766085</v>
      </c>
      <c r="E42" s="279">
        <f>'- 43 -'!G42</f>
        <v>0.004299580656803405</v>
      </c>
      <c r="F42" s="279">
        <f>'- 43 -'!I42</f>
        <v>0.027017043667599615</v>
      </c>
      <c r="G42" s="279">
        <f>'- 44 -'!C42</f>
        <v>0.01615418757899944</v>
      </c>
      <c r="H42" s="279">
        <f>'- 44 -'!E42</f>
        <v>0.011168485446160037</v>
      </c>
      <c r="J42" s="162">
        <f t="shared" si="0"/>
        <v>0.9999999999999999</v>
      </c>
    </row>
    <row r="43" spans="1:10" ht="13.5" customHeight="1">
      <c r="A43" s="387" t="s">
        <v>358</v>
      </c>
      <c r="B43" s="278">
        <f>'- 42 -'!G43</f>
        <v>0.5986245273451526</v>
      </c>
      <c r="C43" s="278">
        <f>'- 43 -'!C43</f>
        <v>8.426482796653429E-05</v>
      </c>
      <c r="D43" s="278">
        <f>'- 43 -'!E43</f>
        <v>0.39262060020240475</v>
      </c>
      <c r="E43" s="278">
        <f>'- 43 -'!G43</f>
        <v>0.003026132880875965</v>
      </c>
      <c r="F43" s="278">
        <f>'- 43 -'!I43</f>
        <v>0</v>
      </c>
      <c r="G43" s="278">
        <f>'- 44 -'!C43</f>
        <v>0.002558182907751899</v>
      </c>
      <c r="H43" s="278">
        <f>'- 44 -'!E43</f>
        <v>0.003086291835848309</v>
      </c>
      <c r="J43" s="162">
        <f t="shared" si="0"/>
        <v>1</v>
      </c>
    </row>
    <row r="44" spans="1:10" ht="13.5" customHeight="1">
      <c r="A44" s="388" t="s">
        <v>359</v>
      </c>
      <c r="B44" s="279">
        <f>'- 42 -'!G44</f>
        <v>0.6836626085522896</v>
      </c>
      <c r="C44" s="279">
        <f>'- 43 -'!C44</f>
        <v>0.004194410124886743</v>
      </c>
      <c r="D44" s="279">
        <f>'- 43 -'!E44</f>
        <v>0.2959911508072279</v>
      </c>
      <c r="E44" s="279">
        <f>'- 43 -'!G44</f>
        <v>0.005810277745252836</v>
      </c>
      <c r="F44" s="279">
        <f>'- 43 -'!I44</f>
        <v>0.003332851758193754</v>
      </c>
      <c r="G44" s="279">
        <f>'- 44 -'!C44</f>
        <v>0.004832485299954519</v>
      </c>
      <c r="H44" s="279">
        <f>'- 44 -'!E44</f>
        <v>0.0021762157121947233</v>
      </c>
      <c r="J44" s="162">
        <f t="shared" si="0"/>
        <v>1</v>
      </c>
    </row>
    <row r="45" spans="1:10" ht="13.5" customHeight="1">
      <c r="A45" s="387" t="s">
        <v>360</v>
      </c>
      <c r="B45" s="278">
        <f>'- 42 -'!G45</f>
        <v>0.6091320769938189</v>
      </c>
      <c r="C45" s="278">
        <f>'- 43 -'!C45</f>
        <v>0.011468829128739026</v>
      </c>
      <c r="D45" s="278">
        <f>'- 43 -'!E45</f>
        <v>0.35434933858860124</v>
      </c>
      <c r="E45" s="278">
        <f>'- 43 -'!G45</f>
        <v>0.00483401117312775</v>
      </c>
      <c r="F45" s="278">
        <f>'- 43 -'!I45</f>
        <v>0</v>
      </c>
      <c r="G45" s="278">
        <f>'- 44 -'!C45</f>
        <v>0.017950389005637616</v>
      </c>
      <c r="H45" s="278">
        <f>'- 44 -'!E45</f>
        <v>0.002265355110075447</v>
      </c>
      <c r="J45" s="162">
        <f t="shared" si="0"/>
        <v>0.9999999999999999</v>
      </c>
    </row>
    <row r="46" spans="1:10" ht="13.5" customHeight="1">
      <c r="A46" s="388" t="s">
        <v>361</v>
      </c>
      <c r="B46" s="279">
        <f>'- 42 -'!G46</f>
        <v>0.5318494589674955</v>
      </c>
      <c r="C46" s="279">
        <f>'- 43 -'!C46</f>
        <v>3.9861911697445366E-05</v>
      </c>
      <c r="D46" s="279">
        <f>'- 43 -'!E46</f>
        <v>0.4419965327047508</v>
      </c>
      <c r="E46" s="279">
        <f>'- 43 -'!G46</f>
        <v>0.009344438991909742</v>
      </c>
      <c r="F46" s="279">
        <f>'- 43 -'!I46</f>
        <v>0.00829243584842062</v>
      </c>
      <c r="G46" s="279">
        <f>'- 44 -'!C46</f>
        <v>0.004237828897834395</v>
      </c>
      <c r="H46" s="279">
        <f>'- 44 -'!E46</f>
        <v>0.0042394426778914925</v>
      </c>
      <c r="J46" s="162">
        <f t="shared" si="0"/>
        <v>1</v>
      </c>
    </row>
    <row r="47" spans="1:10" ht="13.5" customHeight="1">
      <c r="A47" s="387" t="s">
        <v>365</v>
      </c>
      <c r="B47" s="278">
        <f>'- 42 -'!G47</f>
        <v>0.48635811531985157</v>
      </c>
      <c r="C47" s="278">
        <f>'- 43 -'!C47</f>
        <v>0</v>
      </c>
      <c r="D47" s="278">
        <f>'- 43 -'!E47</f>
        <v>0</v>
      </c>
      <c r="E47" s="278">
        <f>'- 43 -'!G47</f>
        <v>0.33471015906966417</v>
      </c>
      <c r="F47" s="278">
        <f>'- 43 -'!I47</f>
        <v>0</v>
      </c>
      <c r="G47" s="278">
        <f>'- 44 -'!C47</f>
        <v>0.16939996033647714</v>
      </c>
      <c r="H47" s="278">
        <f>'- 44 -'!E47</f>
        <v>0.009531765274007084</v>
      </c>
      <c r="J47" s="162">
        <f t="shared" si="0"/>
        <v>0.9999999999999999</v>
      </c>
    </row>
    <row r="48" spans="1:8" ht="4.5" customHeight="1">
      <c r="A48" s="389"/>
      <c r="B48" s="162"/>
      <c r="C48" s="162"/>
      <c r="D48" s="162"/>
      <c r="E48" s="162"/>
      <c r="F48" s="162"/>
      <c r="G48" s="162"/>
      <c r="H48" s="162"/>
    </row>
    <row r="49" spans="1:10" ht="13.5" customHeight="1">
      <c r="A49" s="383" t="s">
        <v>362</v>
      </c>
      <c r="B49" s="81">
        <f>'- 42 -'!G49</f>
        <v>0.5756524153430688</v>
      </c>
      <c r="C49" s="81">
        <f>'- 43 -'!C49</f>
        <v>0.010846013096202903</v>
      </c>
      <c r="D49" s="81">
        <f>'- 43 -'!E49</f>
        <v>0.3674311280152786</v>
      </c>
      <c r="E49" s="81">
        <f>'- 43 -'!G49</f>
        <v>0.009076939117827455</v>
      </c>
      <c r="F49" s="81">
        <f>'- 43 -'!I49</f>
        <v>0.021144814755440812</v>
      </c>
      <c r="G49" s="81">
        <f>'- 44 -'!C49</f>
        <v>0.012043527854809324</v>
      </c>
      <c r="H49" s="81">
        <f>'- 44 -'!E49</f>
        <v>0.0038051618173721683</v>
      </c>
      <c r="J49" s="162">
        <f>SUM(B49:H49)</f>
        <v>1</v>
      </c>
    </row>
    <row r="50" spans="1:8" ht="4.5" customHeight="1">
      <c r="A50" s="389" t="s">
        <v>15</v>
      </c>
      <c r="B50" s="162"/>
      <c r="C50" s="162"/>
      <c r="D50" s="162"/>
      <c r="E50" s="162"/>
      <c r="F50" s="162"/>
      <c r="G50" s="162"/>
      <c r="H50" s="162"/>
    </row>
    <row r="51" spans="1:10" ht="13.5" customHeight="1">
      <c r="A51" s="388" t="s">
        <v>363</v>
      </c>
      <c r="B51" s="279">
        <f>'- 42 -'!G51</f>
        <v>0.1467625452159006</v>
      </c>
      <c r="C51" s="279">
        <f>'- 43 -'!C51</f>
        <v>0</v>
      </c>
      <c r="D51" s="279">
        <f>'- 43 -'!E51</f>
        <v>0</v>
      </c>
      <c r="E51" s="279">
        <f>'- 43 -'!G51</f>
        <v>0.12778093048755856</v>
      </c>
      <c r="F51" s="279">
        <f>'- 43 -'!I51</f>
        <v>0.12581433013877924</v>
      </c>
      <c r="G51" s="279">
        <f>'- 44 -'!C51</f>
        <v>0.5702423328112248</v>
      </c>
      <c r="H51" s="279">
        <f>'- 44 -'!E51</f>
        <v>0.029399861346536733</v>
      </c>
      <c r="J51" s="162">
        <f>SUM(B51:H51)</f>
        <v>1</v>
      </c>
    </row>
    <row r="52" spans="1:10" ht="13.5" customHeight="1">
      <c r="A52" s="387" t="s">
        <v>364</v>
      </c>
      <c r="B52" s="278">
        <f>'- 42 -'!G52</f>
        <v>0.20189535872881437</v>
      </c>
      <c r="C52" s="278">
        <f>'- 43 -'!C52</f>
        <v>0</v>
      </c>
      <c r="D52" s="278">
        <f>'- 43 -'!E52</f>
        <v>0.7332678923115363</v>
      </c>
      <c r="E52" s="278">
        <f>'- 43 -'!G52</f>
        <v>0.05857371997402801</v>
      </c>
      <c r="F52" s="278">
        <f>'- 43 -'!I52</f>
        <v>0</v>
      </c>
      <c r="G52" s="278">
        <f>'- 44 -'!C52</f>
        <v>0.002658938604084166</v>
      </c>
      <c r="H52" s="278">
        <f>'- 44 -'!E52</f>
        <v>0.003604090381537179</v>
      </c>
      <c r="J52" s="162">
        <f>SUM(B52:H52)</f>
        <v>1</v>
      </c>
    </row>
    <row r="53" ht="49.5" customHeight="1"/>
    <row r="54" spans="1:8" ht="12" customHeight="1">
      <c r="A54" s="3"/>
      <c r="B54" s="9"/>
      <c r="C54" s="9"/>
      <c r="D54" s="9"/>
      <c r="E54" s="9"/>
      <c r="F54" s="9"/>
      <c r="G54" s="9"/>
      <c r="H54" s="9"/>
    </row>
    <row r="55" spans="1:8" ht="12" customHeight="1">
      <c r="A55" s="3"/>
      <c r="B55" s="9"/>
      <c r="C55" s="9"/>
      <c r="D55" s="9"/>
      <c r="E55" s="9"/>
      <c r="F55" s="9"/>
      <c r="G55" s="9"/>
      <c r="H55" s="9"/>
    </row>
    <row r="56" spans="1:8" ht="12" customHeight="1">
      <c r="A56" s="3"/>
      <c r="B56" s="9"/>
      <c r="C56" s="9"/>
      <c r="D56" s="9"/>
      <c r="E56" s="9"/>
      <c r="F56" s="9"/>
      <c r="G56" s="9"/>
      <c r="H56" s="9"/>
    </row>
    <row r="57" spans="1:8" ht="12" customHeight="1">
      <c r="A57" s="3"/>
      <c r="B57" s="9"/>
      <c r="C57" s="9"/>
      <c r="D57" s="9"/>
      <c r="E57" s="9"/>
      <c r="F57" s="9"/>
      <c r="G57" s="9"/>
      <c r="H57" s="9"/>
    </row>
    <row r="58" spans="1:8" ht="12" customHeight="1">
      <c r="A58" s="3"/>
      <c r="B58" s="9"/>
      <c r="C58" s="9"/>
      <c r="D58" s="9"/>
      <c r="E58" s="9"/>
      <c r="F58" s="9"/>
      <c r="G58" s="9"/>
      <c r="H58" s="9"/>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G60"/>
  <sheetViews>
    <sheetView showGridLines="0" showZeros="0" workbookViewId="0" topLeftCell="A1">
      <selection activeCell="A2" sqref="A2"/>
    </sheetView>
  </sheetViews>
  <sheetFormatPr defaultColWidth="15.83203125" defaultRowHeight="12"/>
  <cols>
    <col min="1" max="1" width="32.83203125" style="67" customWidth="1"/>
    <col min="2" max="2" width="16.83203125" style="67" customWidth="1"/>
    <col min="3" max="3" width="15.83203125" style="67" customWidth="1"/>
    <col min="4" max="5" width="16.83203125" style="67" customWidth="1"/>
    <col min="6" max="7" width="17.83203125" style="67" customWidth="1"/>
    <col min="8" max="16384" width="15.83203125" style="67" customWidth="1"/>
  </cols>
  <sheetData>
    <row r="1" ht="6.75" customHeight="1">
      <c r="A1" s="65"/>
    </row>
    <row r="2" spans="1:7" ht="15.75" customHeight="1">
      <c r="A2" s="338"/>
      <c r="B2" s="551" t="s">
        <v>557</v>
      </c>
      <c r="C2" s="85"/>
      <c r="D2" s="85"/>
      <c r="E2" s="85"/>
      <c r="F2" s="85"/>
      <c r="G2" s="340" t="s">
        <v>14</v>
      </c>
    </row>
    <row r="3" ht="15.75" customHeight="1">
      <c r="A3" s="87"/>
    </row>
    <row r="4" spans="2:7" ht="15.75" customHeight="1">
      <c r="B4" s="337" t="s">
        <v>130</v>
      </c>
      <c r="C4" s="155"/>
      <c r="D4" s="155"/>
      <c r="E4" s="155"/>
      <c r="F4" s="155"/>
      <c r="G4" s="156"/>
    </row>
    <row r="5" ht="15.75" customHeight="1">
      <c r="B5" s="9"/>
    </row>
    <row r="6" spans="2:4" ht="15.75" customHeight="1">
      <c r="B6" s="337" t="s">
        <v>419</v>
      </c>
      <c r="C6" s="157"/>
      <c r="D6" s="158"/>
    </row>
    <row r="7" spans="2:7" ht="15.75" customHeight="1">
      <c r="B7" s="94" t="s">
        <v>316</v>
      </c>
      <c r="C7" s="93"/>
      <c r="D7" s="94"/>
      <c r="E7" s="159" t="s">
        <v>69</v>
      </c>
      <c r="F7" s="94" t="s">
        <v>81</v>
      </c>
      <c r="G7" s="94" t="s">
        <v>140</v>
      </c>
    </row>
    <row r="8" spans="1:7" ht="15.75" customHeight="1">
      <c r="A8" s="313"/>
      <c r="B8" s="429" t="s">
        <v>315</v>
      </c>
      <c r="C8" s="97" t="s">
        <v>69</v>
      </c>
      <c r="D8" s="96"/>
      <c r="E8" s="160" t="s">
        <v>161</v>
      </c>
      <c r="F8" s="96" t="s">
        <v>161</v>
      </c>
      <c r="G8" s="97" t="s">
        <v>162</v>
      </c>
    </row>
    <row r="9" spans="1:7" ht="15.75" customHeight="1">
      <c r="A9" s="314" t="s">
        <v>112</v>
      </c>
      <c r="B9" s="61" t="s">
        <v>276</v>
      </c>
      <c r="C9" s="60" t="s">
        <v>277</v>
      </c>
      <c r="D9" s="60" t="s">
        <v>81</v>
      </c>
      <c r="E9" s="161" t="s">
        <v>278</v>
      </c>
      <c r="F9" s="60" t="s">
        <v>167</v>
      </c>
      <c r="G9" s="60" t="s">
        <v>167</v>
      </c>
    </row>
    <row r="10" spans="1:7" ht="4.5" customHeight="1">
      <c r="A10" s="62"/>
      <c r="B10" s="122"/>
      <c r="C10" s="122"/>
      <c r="D10" s="122"/>
      <c r="E10" s="122"/>
      <c r="F10" s="122"/>
      <c r="G10" s="122"/>
    </row>
    <row r="11" spans="1:7" ht="13.5" customHeight="1">
      <c r="A11" s="387" t="s">
        <v>327</v>
      </c>
      <c r="B11" s="308">
        <f>'- 60 -'!D11</f>
        <v>6716288</v>
      </c>
      <c r="C11" s="308">
        <v>176924</v>
      </c>
      <c r="D11" s="308">
        <f>SUM(B11,C11)</f>
        <v>6893212</v>
      </c>
      <c r="E11" s="308">
        <v>3162</v>
      </c>
      <c r="F11" s="308">
        <f>SUM(D11,E11)</f>
        <v>6896374</v>
      </c>
      <c r="G11" s="278">
        <f>F11/'- 44 -'!I11</f>
        <v>0.6108982915706542</v>
      </c>
    </row>
    <row r="12" spans="1:7" ht="13.5" customHeight="1">
      <c r="A12" s="388" t="s">
        <v>328</v>
      </c>
      <c r="B12" s="309">
        <f>'- 60 -'!D12</f>
        <v>10941298</v>
      </c>
      <c r="C12" s="309">
        <v>760804</v>
      </c>
      <c r="D12" s="309">
        <f aca="true" t="shared" si="0" ref="D12:D47">SUM(B12,C12)</f>
        <v>11702102</v>
      </c>
      <c r="E12" s="309">
        <v>7073</v>
      </c>
      <c r="F12" s="309">
        <f aca="true" t="shared" si="1" ref="F12:F47">SUM(D12,E12)</f>
        <v>11709175</v>
      </c>
      <c r="G12" s="279">
        <f>F12/'- 44 -'!I12</f>
        <v>0.6329535596659414</v>
      </c>
    </row>
    <row r="13" spans="1:7" ht="13.5" customHeight="1">
      <c r="A13" s="387" t="s">
        <v>329</v>
      </c>
      <c r="B13" s="308">
        <f>'- 60 -'!D13</f>
        <v>27305693</v>
      </c>
      <c r="C13" s="308">
        <v>891758</v>
      </c>
      <c r="D13" s="308">
        <f t="shared" si="0"/>
        <v>28197451</v>
      </c>
      <c r="E13" s="308">
        <v>5323</v>
      </c>
      <c r="F13" s="308">
        <f t="shared" si="1"/>
        <v>28202774</v>
      </c>
      <c r="G13" s="278">
        <f>F13/'- 44 -'!I13</f>
        <v>0.5939613258431647</v>
      </c>
    </row>
    <row r="14" spans="1:7" ht="13.5" customHeight="1">
      <c r="A14" s="388" t="s">
        <v>366</v>
      </c>
      <c r="B14" s="309">
        <f>'- 60 -'!D14</f>
        <v>21307741</v>
      </c>
      <c r="C14" s="309">
        <v>2740272</v>
      </c>
      <c r="D14" s="309">
        <f t="shared" si="0"/>
        <v>24048013</v>
      </c>
      <c r="E14" s="309">
        <v>72927</v>
      </c>
      <c r="F14" s="309">
        <f t="shared" si="1"/>
        <v>24120940</v>
      </c>
      <c r="G14" s="279">
        <f>F14/'- 44 -'!I14</f>
        <v>0.6252143906717086</v>
      </c>
    </row>
    <row r="15" spans="1:7" ht="13.5" customHeight="1">
      <c r="A15" s="387" t="s">
        <v>330</v>
      </c>
      <c r="B15" s="308">
        <f>'- 60 -'!D15</f>
        <v>6546323</v>
      </c>
      <c r="C15" s="308">
        <v>301308</v>
      </c>
      <c r="D15" s="308">
        <f t="shared" si="0"/>
        <v>6847631</v>
      </c>
      <c r="E15" s="308">
        <v>165194</v>
      </c>
      <c r="F15" s="308">
        <f t="shared" si="1"/>
        <v>7012825</v>
      </c>
      <c r="G15" s="278">
        <f>F15/'- 44 -'!I15</f>
        <v>0.5355058476437536</v>
      </c>
    </row>
    <row r="16" spans="1:7" ht="13.5" customHeight="1">
      <c r="A16" s="388" t="s">
        <v>331</v>
      </c>
      <c r="B16" s="309">
        <f>'- 60 -'!D16</f>
        <v>6168578</v>
      </c>
      <c r="C16" s="309">
        <v>201124</v>
      </c>
      <c r="D16" s="309">
        <f t="shared" si="0"/>
        <v>6369702</v>
      </c>
      <c r="E16" s="309">
        <v>33818</v>
      </c>
      <c r="F16" s="309">
        <f t="shared" si="1"/>
        <v>6403520</v>
      </c>
      <c r="G16" s="279">
        <f>F16/'- 44 -'!I16</f>
        <v>0.5759664396147823</v>
      </c>
    </row>
    <row r="17" spans="1:7" ht="13.5" customHeight="1">
      <c r="A17" s="387" t="s">
        <v>332</v>
      </c>
      <c r="B17" s="308">
        <f>'- 60 -'!D17</f>
        <v>6881844</v>
      </c>
      <c r="C17" s="308">
        <v>246349</v>
      </c>
      <c r="D17" s="308">
        <f t="shared" si="0"/>
        <v>7128193</v>
      </c>
      <c r="E17" s="308">
        <v>0</v>
      </c>
      <c r="F17" s="308">
        <f t="shared" si="1"/>
        <v>7128193</v>
      </c>
      <c r="G17" s="278">
        <f>F17/'- 44 -'!I17</f>
        <v>0.5633762108348349</v>
      </c>
    </row>
    <row r="18" spans="1:7" ht="13.5" customHeight="1">
      <c r="A18" s="388" t="s">
        <v>333</v>
      </c>
      <c r="B18" s="309">
        <f>'- 60 -'!D18</f>
        <v>27283915.46</v>
      </c>
      <c r="C18" s="309">
        <v>9319890.93</v>
      </c>
      <c r="D18" s="309">
        <f t="shared" si="0"/>
        <v>36603806.39</v>
      </c>
      <c r="E18" s="309">
        <v>118812.5</v>
      </c>
      <c r="F18" s="309">
        <f t="shared" si="1"/>
        <v>36722618.89</v>
      </c>
      <c r="G18" s="279">
        <f>F18/'- 44 -'!I18</f>
        <v>0.49336386153471234</v>
      </c>
    </row>
    <row r="19" spans="1:7" ht="13.5" customHeight="1">
      <c r="A19" s="387" t="s">
        <v>334</v>
      </c>
      <c r="B19" s="308">
        <f>'- 60 -'!D19</f>
        <v>11831812</v>
      </c>
      <c r="C19" s="308">
        <v>296550</v>
      </c>
      <c r="D19" s="308">
        <f t="shared" si="0"/>
        <v>12128362</v>
      </c>
      <c r="E19" s="308">
        <v>11375</v>
      </c>
      <c r="F19" s="308">
        <f t="shared" si="1"/>
        <v>12139737</v>
      </c>
      <c r="G19" s="278">
        <f>F19/'- 44 -'!I19</f>
        <v>0.6756387387143207</v>
      </c>
    </row>
    <row r="20" spans="1:7" ht="13.5" customHeight="1">
      <c r="A20" s="388" t="s">
        <v>335</v>
      </c>
      <c r="B20" s="309">
        <f>'- 60 -'!D20</f>
        <v>23676794</v>
      </c>
      <c r="C20" s="309">
        <v>546003</v>
      </c>
      <c r="D20" s="309">
        <f t="shared" si="0"/>
        <v>24222797</v>
      </c>
      <c r="E20" s="309">
        <v>81057</v>
      </c>
      <c r="F20" s="309">
        <f t="shared" si="1"/>
        <v>24303854</v>
      </c>
      <c r="G20" s="279">
        <f>F20/'- 44 -'!I20</f>
        <v>0.6854757521931605</v>
      </c>
    </row>
    <row r="21" spans="1:7" ht="13.5" customHeight="1">
      <c r="A21" s="387" t="s">
        <v>336</v>
      </c>
      <c r="B21" s="308">
        <f>'- 60 -'!D21</f>
        <v>14799220</v>
      </c>
      <c r="C21" s="308">
        <v>390315</v>
      </c>
      <c r="D21" s="308">
        <f t="shared" si="0"/>
        <v>15189535</v>
      </c>
      <c r="E21" s="308">
        <v>800</v>
      </c>
      <c r="F21" s="308">
        <f t="shared" si="1"/>
        <v>15190335</v>
      </c>
      <c r="G21" s="278">
        <f>F21/'- 44 -'!I21</f>
        <v>0.6301920728315046</v>
      </c>
    </row>
    <row r="22" spans="1:7" ht="13.5" customHeight="1">
      <c r="A22" s="388" t="s">
        <v>337</v>
      </c>
      <c r="B22" s="309">
        <f>'- 60 -'!D22</f>
        <v>8463613</v>
      </c>
      <c r="C22" s="309">
        <v>742703</v>
      </c>
      <c r="D22" s="309">
        <f t="shared" si="0"/>
        <v>9206316</v>
      </c>
      <c r="E22" s="309">
        <v>1560</v>
      </c>
      <c r="F22" s="309">
        <f t="shared" si="1"/>
        <v>9207876</v>
      </c>
      <c r="G22" s="279">
        <f>F22/'- 44 -'!I22</f>
        <v>0.718961514505642</v>
      </c>
    </row>
    <row r="23" spans="1:7" ht="13.5" customHeight="1">
      <c r="A23" s="387" t="s">
        <v>338</v>
      </c>
      <c r="B23" s="308">
        <f>'- 60 -'!D23</f>
        <v>7274943</v>
      </c>
      <c r="C23" s="308">
        <v>284241</v>
      </c>
      <c r="D23" s="308">
        <f t="shared" si="0"/>
        <v>7559184</v>
      </c>
      <c r="E23" s="308">
        <v>38241</v>
      </c>
      <c r="F23" s="308">
        <f t="shared" si="1"/>
        <v>7597425</v>
      </c>
      <c r="G23" s="278">
        <f>F23/'- 44 -'!I23</f>
        <v>0.6932848392644638</v>
      </c>
    </row>
    <row r="24" spans="1:7" ht="13.5" customHeight="1">
      <c r="A24" s="388" t="s">
        <v>339</v>
      </c>
      <c r="B24" s="309">
        <f>'- 60 -'!D24</f>
        <v>19633109</v>
      </c>
      <c r="C24" s="309">
        <v>864597</v>
      </c>
      <c r="D24" s="309">
        <f t="shared" si="0"/>
        <v>20497706</v>
      </c>
      <c r="E24" s="309">
        <v>19912</v>
      </c>
      <c r="F24" s="309">
        <f t="shared" si="1"/>
        <v>20517618</v>
      </c>
      <c r="G24" s="279">
        <f>F24/'- 44 -'!I24</f>
        <v>0.5930140214096556</v>
      </c>
    </row>
    <row r="25" spans="1:7" ht="13.5" customHeight="1">
      <c r="A25" s="387" t="s">
        <v>340</v>
      </c>
      <c r="B25" s="308">
        <f>'- 60 -'!D25</f>
        <v>59629883</v>
      </c>
      <c r="C25" s="308">
        <v>2401520</v>
      </c>
      <c r="D25" s="308">
        <f t="shared" si="0"/>
        <v>62031403</v>
      </c>
      <c r="E25" s="308">
        <v>311926</v>
      </c>
      <c r="F25" s="308">
        <f t="shared" si="1"/>
        <v>62343329</v>
      </c>
      <c r="G25" s="278">
        <f>F25/'- 44 -'!I25</f>
        <v>0.5775268153966764</v>
      </c>
    </row>
    <row r="26" spans="1:7" ht="13.5" customHeight="1">
      <c r="A26" s="388" t="s">
        <v>341</v>
      </c>
      <c r="B26" s="309">
        <f>'- 60 -'!D26</f>
        <v>15737499</v>
      </c>
      <c r="C26" s="309">
        <v>587100.32</v>
      </c>
      <c r="D26" s="309">
        <f t="shared" si="0"/>
        <v>16324599.32</v>
      </c>
      <c r="E26" s="309">
        <v>30183</v>
      </c>
      <c r="F26" s="309">
        <f t="shared" si="1"/>
        <v>16354782.32</v>
      </c>
      <c r="G26" s="279">
        <f>F26/'- 44 -'!I26</f>
        <v>0.6229418551794051</v>
      </c>
    </row>
    <row r="27" spans="1:7" ht="13.5" customHeight="1">
      <c r="A27" s="387" t="s">
        <v>342</v>
      </c>
      <c r="B27" s="308">
        <f>'- 60 -'!D27</f>
        <v>17021827</v>
      </c>
      <c r="C27" s="308">
        <v>423723</v>
      </c>
      <c r="D27" s="308">
        <f t="shared" si="0"/>
        <v>17445550</v>
      </c>
      <c r="E27" s="308">
        <v>0</v>
      </c>
      <c r="F27" s="308">
        <f t="shared" si="1"/>
        <v>17445550</v>
      </c>
      <c r="G27" s="278">
        <f>F27/'- 44 -'!I27</f>
        <v>0.6722560227828457</v>
      </c>
    </row>
    <row r="28" spans="1:7" ht="13.5" customHeight="1">
      <c r="A28" s="388" t="s">
        <v>343</v>
      </c>
      <c r="B28" s="309">
        <f>'- 60 -'!D28</f>
        <v>9413894</v>
      </c>
      <c r="C28" s="309">
        <v>288098</v>
      </c>
      <c r="D28" s="309">
        <f t="shared" si="0"/>
        <v>9701992</v>
      </c>
      <c r="E28" s="309">
        <v>33325</v>
      </c>
      <c r="F28" s="309">
        <f t="shared" si="1"/>
        <v>9735317</v>
      </c>
      <c r="G28" s="279">
        <f>F28/'- 44 -'!I28</f>
        <v>0.5889193606001882</v>
      </c>
    </row>
    <row r="29" spans="1:7" ht="13.5" customHeight="1">
      <c r="A29" s="387" t="s">
        <v>344</v>
      </c>
      <c r="B29" s="308">
        <f>'- 60 -'!D29</f>
        <v>46828409</v>
      </c>
      <c r="C29" s="308">
        <v>2160243</v>
      </c>
      <c r="D29" s="308">
        <f t="shared" si="0"/>
        <v>48988652</v>
      </c>
      <c r="E29" s="308">
        <v>22324</v>
      </c>
      <c r="F29" s="308">
        <f t="shared" si="1"/>
        <v>49010976</v>
      </c>
      <c r="G29" s="278">
        <f>F29/'- 44 -'!I29</f>
        <v>0.4763797616445705</v>
      </c>
    </row>
    <row r="30" spans="1:7" ht="13.5" customHeight="1">
      <c r="A30" s="388" t="s">
        <v>345</v>
      </c>
      <c r="B30" s="309">
        <f>'- 60 -'!D30</f>
        <v>6300950</v>
      </c>
      <c r="C30" s="309">
        <v>152076</v>
      </c>
      <c r="D30" s="309">
        <f t="shared" si="0"/>
        <v>6453026</v>
      </c>
      <c r="E30" s="309">
        <v>2435</v>
      </c>
      <c r="F30" s="309">
        <f t="shared" si="1"/>
        <v>6455461</v>
      </c>
      <c r="G30" s="279">
        <f>F30/'- 44 -'!I30</f>
        <v>0.6372580492628966</v>
      </c>
    </row>
    <row r="31" spans="1:7" ht="13.5" customHeight="1">
      <c r="A31" s="387" t="s">
        <v>346</v>
      </c>
      <c r="B31" s="308">
        <f>'- 60 -'!D31</f>
        <v>14078184</v>
      </c>
      <c r="C31" s="308">
        <v>881197</v>
      </c>
      <c r="D31" s="308">
        <f t="shared" si="0"/>
        <v>14959381</v>
      </c>
      <c r="E31" s="308">
        <v>2538</v>
      </c>
      <c r="F31" s="308">
        <f t="shared" si="1"/>
        <v>14961919</v>
      </c>
      <c r="G31" s="278">
        <f>F31/'- 44 -'!I31</f>
        <v>0.6196784894109867</v>
      </c>
    </row>
    <row r="32" spans="1:7" ht="13.5" customHeight="1">
      <c r="A32" s="388" t="s">
        <v>347</v>
      </c>
      <c r="B32" s="309">
        <f>'- 60 -'!D32</f>
        <v>10788615</v>
      </c>
      <c r="C32" s="309">
        <v>615129</v>
      </c>
      <c r="D32" s="309">
        <f t="shared" si="0"/>
        <v>11403744</v>
      </c>
      <c r="E32" s="309">
        <v>26556</v>
      </c>
      <c r="F32" s="309">
        <f t="shared" si="1"/>
        <v>11430300</v>
      </c>
      <c r="G32" s="279">
        <f>F32/'- 44 -'!I32</f>
        <v>0.5983974363504808</v>
      </c>
    </row>
    <row r="33" spans="1:7" ht="13.5" customHeight="1">
      <c r="A33" s="387" t="s">
        <v>348</v>
      </c>
      <c r="B33" s="308">
        <f>'- 60 -'!D33</f>
        <v>13350991</v>
      </c>
      <c r="C33" s="308">
        <v>476290</v>
      </c>
      <c r="D33" s="308">
        <f t="shared" si="0"/>
        <v>13827281</v>
      </c>
      <c r="E33" s="308">
        <v>14990</v>
      </c>
      <c r="F33" s="308">
        <f t="shared" si="1"/>
        <v>13842271</v>
      </c>
      <c r="G33" s="278">
        <f>F33/'- 44 -'!I33</f>
        <v>0.6335709307492885</v>
      </c>
    </row>
    <row r="34" spans="1:7" ht="13.5" customHeight="1">
      <c r="A34" s="388" t="s">
        <v>349</v>
      </c>
      <c r="B34" s="309">
        <f>'- 60 -'!D34</f>
        <v>10213135</v>
      </c>
      <c r="C34" s="309">
        <v>803578</v>
      </c>
      <c r="D34" s="309">
        <f t="shared" si="0"/>
        <v>11016713</v>
      </c>
      <c r="E34" s="309">
        <v>0</v>
      </c>
      <c r="F34" s="309">
        <f t="shared" si="1"/>
        <v>11016713</v>
      </c>
      <c r="G34" s="279">
        <f>F34/'- 44 -'!I34</f>
        <v>0.5952359353138847</v>
      </c>
    </row>
    <row r="35" spans="1:7" ht="13.5" customHeight="1">
      <c r="A35" s="387" t="s">
        <v>350</v>
      </c>
      <c r="B35" s="308">
        <f>'- 60 -'!D35</f>
        <v>71799644</v>
      </c>
      <c r="C35" s="308">
        <v>3334634</v>
      </c>
      <c r="D35" s="308">
        <f t="shared" si="0"/>
        <v>75134278</v>
      </c>
      <c r="E35" s="308">
        <v>119935</v>
      </c>
      <c r="F35" s="308">
        <f t="shared" si="1"/>
        <v>75254213</v>
      </c>
      <c r="G35" s="278">
        <f>F35/'- 44 -'!I35</f>
        <v>0.6036430259655124</v>
      </c>
    </row>
    <row r="36" spans="1:7" ht="13.5" customHeight="1">
      <c r="A36" s="388" t="s">
        <v>351</v>
      </c>
      <c r="B36" s="309">
        <f>'- 60 -'!D36</f>
        <v>9077201</v>
      </c>
      <c r="C36" s="309">
        <v>386674</v>
      </c>
      <c r="D36" s="309">
        <f t="shared" si="0"/>
        <v>9463875</v>
      </c>
      <c r="E36" s="309">
        <v>1650</v>
      </c>
      <c r="F36" s="309">
        <f t="shared" si="1"/>
        <v>9465525</v>
      </c>
      <c r="G36" s="279">
        <f>F36/'- 44 -'!I36</f>
        <v>0.5757456465794181</v>
      </c>
    </row>
    <row r="37" spans="1:7" ht="13.5" customHeight="1">
      <c r="A37" s="387" t="s">
        <v>352</v>
      </c>
      <c r="B37" s="308">
        <f>'- 60 -'!D37</f>
        <v>16429984</v>
      </c>
      <c r="C37" s="308">
        <v>646316</v>
      </c>
      <c r="D37" s="308">
        <f t="shared" si="0"/>
        <v>17076300</v>
      </c>
      <c r="E37" s="308">
        <v>37384</v>
      </c>
      <c r="F37" s="308">
        <f t="shared" si="1"/>
        <v>17113684</v>
      </c>
      <c r="G37" s="278">
        <f>F37/'- 44 -'!I37</f>
        <v>0.6847495254498939</v>
      </c>
    </row>
    <row r="38" spans="1:7" ht="13.5" customHeight="1">
      <c r="A38" s="388" t="s">
        <v>353</v>
      </c>
      <c r="B38" s="309">
        <f>'- 60 -'!D38</f>
        <v>36386435</v>
      </c>
      <c r="C38" s="309">
        <v>2735260</v>
      </c>
      <c r="D38" s="309">
        <f t="shared" si="0"/>
        <v>39121695</v>
      </c>
      <c r="E38" s="309">
        <v>102734</v>
      </c>
      <c r="F38" s="309">
        <f t="shared" si="1"/>
        <v>39224429</v>
      </c>
      <c r="G38" s="279">
        <f>F38/'- 44 -'!I38</f>
        <v>0.5985873346903953</v>
      </c>
    </row>
    <row r="39" spans="1:7" ht="13.5" customHeight="1">
      <c r="A39" s="387" t="s">
        <v>354</v>
      </c>
      <c r="B39" s="308">
        <f>'- 60 -'!D39</f>
        <v>8102899</v>
      </c>
      <c r="C39" s="308">
        <v>348696</v>
      </c>
      <c r="D39" s="308">
        <f t="shared" si="0"/>
        <v>8451595</v>
      </c>
      <c r="E39" s="308">
        <v>100719</v>
      </c>
      <c r="F39" s="308">
        <f t="shared" si="1"/>
        <v>8552314</v>
      </c>
      <c r="G39" s="278">
        <f>F39/'- 44 -'!I39</f>
        <v>0.5699588847609706</v>
      </c>
    </row>
    <row r="40" spans="1:7" ht="13.5" customHeight="1">
      <c r="A40" s="388" t="s">
        <v>355</v>
      </c>
      <c r="B40" s="309">
        <f>'- 60 -'!D40</f>
        <v>31651741</v>
      </c>
      <c r="C40" s="309">
        <v>1381688</v>
      </c>
      <c r="D40" s="309">
        <f t="shared" si="0"/>
        <v>33033429</v>
      </c>
      <c r="E40" s="309">
        <v>10280</v>
      </c>
      <c r="F40" s="309">
        <f t="shared" si="1"/>
        <v>33043709</v>
      </c>
      <c r="G40" s="279">
        <f>F40/'- 44 -'!I40</f>
        <v>0.5097635843341501</v>
      </c>
    </row>
    <row r="41" spans="1:7" ht="13.5" customHeight="1">
      <c r="A41" s="387" t="s">
        <v>356</v>
      </c>
      <c r="B41" s="308">
        <f>'- 60 -'!D41</f>
        <v>21467547</v>
      </c>
      <c r="C41" s="308">
        <v>1641308</v>
      </c>
      <c r="D41" s="308">
        <f t="shared" si="0"/>
        <v>23108855</v>
      </c>
      <c r="E41" s="308">
        <v>13822</v>
      </c>
      <c r="F41" s="308">
        <f t="shared" si="1"/>
        <v>23122677</v>
      </c>
      <c r="G41" s="278">
        <f>F41/'- 44 -'!I41</f>
        <v>0.594641195516297</v>
      </c>
    </row>
    <row r="42" spans="1:7" ht="13.5" customHeight="1">
      <c r="A42" s="388" t="s">
        <v>357</v>
      </c>
      <c r="B42" s="309">
        <f>'- 60 -'!D42</f>
        <v>9140027</v>
      </c>
      <c r="C42" s="309">
        <v>451723</v>
      </c>
      <c r="D42" s="309">
        <f t="shared" si="0"/>
        <v>9591750</v>
      </c>
      <c r="E42" s="309">
        <v>67242</v>
      </c>
      <c r="F42" s="309">
        <f t="shared" si="1"/>
        <v>9658992</v>
      </c>
      <c r="G42" s="279">
        <f>F42/'- 44 -'!I42</f>
        <v>0.6348540902442649</v>
      </c>
    </row>
    <row r="43" spans="1:7" ht="13.5" customHeight="1">
      <c r="A43" s="387" t="s">
        <v>358</v>
      </c>
      <c r="B43" s="308">
        <f>'- 60 -'!D43</f>
        <v>5335807</v>
      </c>
      <c r="C43" s="308">
        <v>325759</v>
      </c>
      <c r="D43" s="308">
        <f t="shared" si="0"/>
        <v>5661566</v>
      </c>
      <c r="E43" s="308">
        <v>390</v>
      </c>
      <c r="F43" s="308">
        <f t="shared" si="1"/>
        <v>5661956</v>
      </c>
      <c r="G43" s="278">
        <f>F43/'- 44 -'!I43</f>
        <v>0.5986245273451526</v>
      </c>
    </row>
    <row r="44" spans="1:7" ht="13.5" customHeight="1">
      <c r="A44" s="388" t="s">
        <v>359</v>
      </c>
      <c r="B44" s="309">
        <f>'- 60 -'!D44</f>
        <v>4695921</v>
      </c>
      <c r="C44" s="309">
        <v>97725</v>
      </c>
      <c r="D44" s="309">
        <f t="shared" si="0"/>
        <v>4793646</v>
      </c>
      <c r="E44" s="309">
        <v>0</v>
      </c>
      <c r="F44" s="309">
        <f t="shared" si="1"/>
        <v>4793646</v>
      </c>
      <c r="G44" s="279">
        <f>F44/'- 44 -'!I44</f>
        <v>0.6836626085522896</v>
      </c>
    </row>
    <row r="45" spans="1:7" ht="13.5" customHeight="1">
      <c r="A45" s="387" t="s">
        <v>360</v>
      </c>
      <c r="B45" s="308">
        <f>'- 60 -'!D45</f>
        <v>5843484</v>
      </c>
      <c r="C45" s="308">
        <v>397537</v>
      </c>
      <c r="D45" s="308">
        <f t="shared" si="0"/>
        <v>6241021</v>
      </c>
      <c r="E45" s="308">
        <v>10948</v>
      </c>
      <c r="F45" s="308">
        <f t="shared" si="1"/>
        <v>6251969</v>
      </c>
      <c r="G45" s="278">
        <f>F45/'- 44 -'!I45</f>
        <v>0.6091320769938189</v>
      </c>
    </row>
    <row r="46" spans="1:7" ht="13.5" customHeight="1">
      <c r="A46" s="388" t="s">
        <v>361</v>
      </c>
      <c r="B46" s="309">
        <f>'- 60 -'!D46</f>
        <v>127182710</v>
      </c>
      <c r="C46" s="309">
        <v>8753957</v>
      </c>
      <c r="D46" s="309">
        <f t="shared" si="0"/>
        <v>135936667</v>
      </c>
      <c r="E46" s="309">
        <v>1822548</v>
      </c>
      <c r="F46" s="309">
        <f t="shared" si="1"/>
        <v>137759215</v>
      </c>
      <c r="G46" s="279">
        <f>F46/'- 44 -'!I46</f>
        <v>0.5318494589674955</v>
      </c>
    </row>
    <row r="47" spans="1:7" ht="13.5" customHeight="1">
      <c r="A47" s="387" t="s">
        <v>365</v>
      </c>
      <c r="B47" s="308">
        <f>'- 60 -'!D47</f>
        <v>725484</v>
      </c>
      <c r="C47" s="308">
        <v>3897328</v>
      </c>
      <c r="D47" s="308">
        <f t="shared" si="0"/>
        <v>4622812</v>
      </c>
      <c r="E47" s="308">
        <v>0</v>
      </c>
      <c r="F47" s="308">
        <f t="shared" si="1"/>
        <v>4622812</v>
      </c>
      <c r="G47" s="278">
        <f>F47/'- 44 -'!I47</f>
        <v>0.48635811531985157</v>
      </c>
    </row>
    <row r="48" spans="1:7" ht="4.5" customHeight="1">
      <c r="A48" s="389"/>
      <c r="B48" s="310"/>
      <c r="C48" s="310"/>
      <c r="D48" s="310"/>
      <c r="E48" s="310"/>
      <c r="F48" s="310"/>
      <c r="G48" s="162"/>
    </row>
    <row r="49" spans="1:7" ht="13.5" customHeight="1">
      <c r="A49" s="383" t="s">
        <v>362</v>
      </c>
      <c r="B49" s="311">
        <f>SUM(B11:B47)</f>
        <v>750033442.46</v>
      </c>
      <c r="C49" s="311">
        <f>SUM(C11:C47)</f>
        <v>50950398.25</v>
      </c>
      <c r="D49" s="311">
        <f>SUM(D11:D47)</f>
        <v>800983840.71</v>
      </c>
      <c r="E49" s="311">
        <f>SUM(E11:E47)</f>
        <v>3291183.5</v>
      </c>
      <c r="F49" s="311">
        <f>SUM(F11:F47)</f>
        <v>804275024.21</v>
      </c>
      <c r="G49" s="81">
        <f>F49/'- 44 -'!$I49</f>
        <v>0.5756524153430688</v>
      </c>
    </row>
    <row r="50" spans="1:7" ht="4.5" customHeight="1">
      <c r="A50" s="389" t="s">
        <v>15</v>
      </c>
      <c r="B50" s="310"/>
      <c r="C50" s="310"/>
      <c r="D50" s="310"/>
      <c r="E50" s="310"/>
      <c r="F50" s="310"/>
      <c r="G50" s="162"/>
    </row>
    <row r="51" spans="1:7" ht="13.5" customHeight="1">
      <c r="A51" s="388" t="s">
        <v>363</v>
      </c>
      <c r="B51" s="309">
        <f>'- 60 -'!D51</f>
        <v>198360</v>
      </c>
      <c r="C51" s="309">
        <v>0</v>
      </c>
      <c r="D51" s="309">
        <f>SUM(B51,C51)</f>
        <v>198360</v>
      </c>
      <c r="E51" s="309">
        <v>0</v>
      </c>
      <c r="F51" s="309">
        <f>SUM(D51,E51)</f>
        <v>198360</v>
      </c>
      <c r="G51" s="279">
        <f>F51/'- 44 -'!I51</f>
        <v>0.1467625452159006</v>
      </c>
    </row>
    <row r="52" spans="1:7" ht="13.5" customHeight="1">
      <c r="A52" s="387" t="s">
        <v>364</v>
      </c>
      <c r="B52" s="308">
        <f>'- 60 -'!D52</f>
        <v>455231</v>
      </c>
      <c r="C52" s="308">
        <v>30986</v>
      </c>
      <c r="D52" s="308">
        <f>SUM(B52,C52)</f>
        <v>486217</v>
      </c>
      <c r="E52" s="308">
        <v>1031</v>
      </c>
      <c r="F52" s="308">
        <f>SUM(D52,E52)</f>
        <v>487248</v>
      </c>
      <c r="G52" s="278">
        <f>F52/'- 44 -'!I52</f>
        <v>0.20189535872881437</v>
      </c>
    </row>
    <row r="53" spans="1:7" ht="49.5" customHeight="1">
      <c r="A53" s="324"/>
      <c r="B53" s="324"/>
      <c r="C53" s="324"/>
      <c r="D53" s="324"/>
      <c r="E53" s="324"/>
      <c r="F53" s="324"/>
      <c r="G53" s="324"/>
    </row>
    <row r="54" spans="1:7" ht="15" customHeight="1">
      <c r="A54" s="99" t="s">
        <v>441</v>
      </c>
      <c r="C54" s="100"/>
      <c r="D54" s="147"/>
      <c r="E54" s="147"/>
      <c r="F54" s="147"/>
      <c r="G54" s="147"/>
    </row>
    <row r="55" spans="1:7" ht="12" customHeight="1">
      <c r="A55" s="99" t="s">
        <v>1</v>
      </c>
      <c r="C55" s="100"/>
      <c r="D55" s="147"/>
      <c r="E55" s="147"/>
      <c r="F55" s="147"/>
      <c r="G55" s="147"/>
    </row>
    <row r="56" spans="1:7" ht="12" customHeight="1">
      <c r="A56" s="99" t="s">
        <v>0</v>
      </c>
      <c r="C56" s="100"/>
      <c r="D56" s="147"/>
      <c r="E56" s="147"/>
      <c r="F56" s="147"/>
      <c r="G56" s="147"/>
    </row>
    <row r="57" spans="1:7" ht="9" customHeight="1">
      <c r="A57" s="3"/>
      <c r="C57" s="100"/>
      <c r="D57" s="99"/>
      <c r="E57" s="99"/>
      <c r="F57" s="99"/>
      <c r="G57" s="99"/>
    </row>
    <row r="58" spans="1:7" ht="12" customHeight="1">
      <c r="A58" s="3"/>
      <c r="C58" s="139"/>
      <c r="D58" s="105"/>
      <c r="E58" s="105"/>
      <c r="F58" s="105"/>
      <c r="G58" s="105"/>
    </row>
    <row r="59" spans="1:7" ht="12" customHeight="1">
      <c r="A59" s="3"/>
      <c r="B59" s="105"/>
      <c r="C59" s="105"/>
      <c r="D59" s="105"/>
      <c r="E59" s="105"/>
      <c r="F59" s="105"/>
      <c r="G59" s="105"/>
    </row>
    <row r="60" spans="2:7" ht="12.75">
      <c r="B60" s="105"/>
      <c r="C60" s="105"/>
      <c r="D60" s="105"/>
      <c r="E60" s="105"/>
      <c r="F60" s="139"/>
      <c r="G60" s="139"/>
    </row>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8"/>
  <sheetViews>
    <sheetView showGridLines="0" showZeros="0" workbookViewId="0" topLeftCell="A1">
      <selection activeCell="A1" sqref="A1"/>
    </sheetView>
  </sheetViews>
  <sheetFormatPr defaultColWidth="15.83203125" defaultRowHeight="12"/>
  <cols>
    <col min="1" max="1" width="34.83203125" style="67" customWidth="1"/>
    <col min="2" max="2" width="16.83203125" style="67" customWidth="1"/>
    <col min="3" max="3" width="8.83203125" style="67" customWidth="1"/>
    <col min="4" max="4" width="15.83203125" style="67" customWidth="1"/>
    <col min="5" max="5" width="8.83203125" style="67" customWidth="1"/>
    <col min="6" max="6" width="15.83203125" style="67" customWidth="1"/>
    <col min="7" max="7" width="8.83203125" style="67" customWidth="1"/>
    <col min="8" max="8" width="15.83203125" style="67" customWidth="1"/>
    <col min="9" max="9" width="8.83203125" style="67" customWidth="1"/>
    <col min="10" max="16384" width="15.83203125" style="67" customWidth="1"/>
  </cols>
  <sheetData>
    <row r="1" ht="6.75" customHeight="1">
      <c r="A1" s="65"/>
    </row>
    <row r="2" spans="1:9" ht="15.75" customHeight="1">
      <c r="A2" s="338"/>
      <c r="B2" s="474" t="str">
        <f>REVYEAR</f>
        <v>ANALYSIS OF OPERATING FUND REVENUE: 2002/2003 ACTUAL</v>
      </c>
      <c r="C2" s="85"/>
      <c r="D2" s="85"/>
      <c r="E2" s="85"/>
      <c r="F2" s="85"/>
      <c r="G2" s="342"/>
      <c r="H2" s="276"/>
      <c r="I2" s="340" t="s">
        <v>16</v>
      </c>
    </row>
    <row r="3" ht="15.75" customHeight="1">
      <c r="A3" s="87"/>
    </row>
    <row r="4" spans="2:9" ht="15.75" customHeight="1">
      <c r="B4" s="116"/>
      <c r="C4" s="116"/>
      <c r="D4" s="116"/>
      <c r="E4" s="116"/>
      <c r="F4" s="116"/>
      <c r="G4" s="116"/>
      <c r="H4" s="116"/>
      <c r="I4" s="125"/>
    </row>
    <row r="5" spans="2:9" ht="15.75" customHeight="1">
      <c r="B5" s="43"/>
      <c r="C5" s="116"/>
      <c r="D5" s="116"/>
      <c r="E5" s="116"/>
      <c r="F5" s="116"/>
      <c r="G5" s="116"/>
      <c r="H5" s="116"/>
      <c r="I5" s="116"/>
    </row>
    <row r="6" spans="2:9" ht="15.75" customHeight="1">
      <c r="B6" s="116"/>
      <c r="C6" s="116"/>
      <c r="D6" s="116"/>
      <c r="E6" s="116"/>
      <c r="F6" s="116"/>
      <c r="G6" s="116"/>
      <c r="H6" s="116"/>
      <c r="I6" s="116"/>
    </row>
    <row r="7" spans="2:9" ht="15.75" customHeight="1">
      <c r="B7" s="53" t="s">
        <v>141</v>
      </c>
      <c r="C7" s="52"/>
      <c r="D7" s="51" t="s">
        <v>142</v>
      </c>
      <c r="E7" s="52"/>
      <c r="F7" s="51" t="s">
        <v>143</v>
      </c>
      <c r="G7" s="52"/>
      <c r="H7" s="148"/>
      <c r="I7" s="52"/>
    </row>
    <row r="8" spans="1:9" ht="15.75" customHeight="1">
      <c r="A8" s="313"/>
      <c r="B8" s="55" t="s">
        <v>163</v>
      </c>
      <c r="C8" s="56"/>
      <c r="D8" s="55" t="s">
        <v>163</v>
      </c>
      <c r="E8" s="56"/>
      <c r="F8" s="55" t="s">
        <v>164</v>
      </c>
      <c r="G8" s="56"/>
      <c r="H8" s="55" t="s">
        <v>165</v>
      </c>
      <c r="I8" s="56"/>
    </row>
    <row r="9" spans="1:9" ht="15.75" customHeight="1">
      <c r="A9" s="314" t="s">
        <v>112</v>
      </c>
      <c r="B9" s="127" t="s">
        <v>167</v>
      </c>
      <c r="C9" s="126" t="s">
        <v>114</v>
      </c>
      <c r="D9" s="126" t="s">
        <v>167</v>
      </c>
      <c r="E9" s="126" t="s">
        <v>114</v>
      </c>
      <c r="F9" s="126" t="s">
        <v>167</v>
      </c>
      <c r="G9" s="126" t="s">
        <v>114</v>
      </c>
      <c r="H9" s="151" t="s">
        <v>167</v>
      </c>
      <c r="I9" s="151" t="s">
        <v>114</v>
      </c>
    </row>
    <row r="10" spans="1:9" ht="4.5" customHeight="1">
      <c r="A10" s="62"/>
      <c r="B10" s="122"/>
      <c r="C10" s="122"/>
      <c r="D10" s="122"/>
      <c r="E10" s="122"/>
      <c r="F10" s="122"/>
      <c r="G10" s="122"/>
      <c r="H10" s="122"/>
      <c r="I10" s="122"/>
    </row>
    <row r="11" spans="1:9" ht="13.5" customHeight="1">
      <c r="A11" s="387" t="s">
        <v>327</v>
      </c>
      <c r="B11" s="308">
        <v>0</v>
      </c>
      <c r="C11" s="278">
        <f>B11/'- 44 -'!I11</f>
        <v>0</v>
      </c>
      <c r="D11" s="308">
        <v>4168908</v>
      </c>
      <c r="E11" s="278">
        <f>D11/'- 44 -'!I11</f>
        <v>0.3692924390288626</v>
      </c>
      <c r="F11" s="308">
        <v>57165</v>
      </c>
      <c r="G11" s="278">
        <f>F11/'- 44 -'!I11</f>
        <v>0.005063820616114563</v>
      </c>
      <c r="H11" s="308">
        <v>0</v>
      </c>
      <c r="I11" s="278">
        <f>H11/'- 44 -'!I11</f>
        <v>0</v>
      </c>
    </row>
    <row r="12" spans="1:9" ht="13.5" customHeight="1">
      <c r="A12" s="388" t="s">
        <v>328</v>
      </c>
      <c r="B12" s="309">
        <v>83213</v>
      </c>
      <c r="C12" s="279">
        <f>B12/'- 44 -'!I12</f>
        <v>0.00449817895457895</v>
      </c>
      <c r="D12" s="309">
        <v>6049189</v>
      </c>
      <c r="E12" s="279">
        <f>D12/'- 44 -'!I12</f>
        <v>0.32699619833524185</v>
      </c>
      <c r="F12" s="309">
        <v>222385</v>
      </c>
      <c r="G12" s="279">
        <f>F12/'- 44 -'!I12</f>
        <v>0.012021289063175702</v>
      </c>
      <c r="H12" s="309">
        <v>225966</v>
      </c>
      <c r="I12" s="279">
        <f>H12/'- 44 -'!I12</f>
        <v>0.012214864331899907</v>
      </c>
    </row>
    <row r="13" spans="1:9" ht="13.5" customHeight="1">
      <c r="A13" s="387" t="s">
        <v>329</v>
      </c>
      <c r="B13" s="308">
        <v>14640</v>
      </c>
      <c r="C13" s="278">
        <f>B13/'- 44 -'!I13</f>
        <v>0.0003083240609715885</v>
      </c>
      <c r="D13" s="308">
        <v>17931500</v>
      </c>
      <c r="E13" s="278">
        <f>D13/'- 44 -'!I13</f>
        <v>0.37764432372349993</v>
      </c>
      <c r="F13" s="308">
        <v>189345</v>
      </c>
      <c r="G13" s="278">
        <f>F13/'- 44 -'!I13</f>
        <v>0.003987678915619223</v>
      </c>
      <c r="H13" s="308">
        <v>484201</v>
      </c>
      <c r="I13" s="278">
        <f>H13/'- 44 -'!I13</f>
        <v>0.010197460290061758</v>
      </c>
    </row>
    <row r="14" spans="1:9" ht="13.5" customHeight="1">
      <c r="A14" s="388" t="s">
        <v>366</v>
      </c>
      <c r="B14" s="309">
        <v>2793034</v>
      </c>
      <c r="C14" s="279">
        <f>B14/'- 44 -'!I14</f>
        <v>0.07239539795859386</v>
      </c>
      <c r="D14" s="309">
        <v>11302268</v>
      </c>
      <c r="E14" s="279">
        <f>D14/'- 44 -'!I14</f>
        <v>0.2929546112559606</v>
      </c>
      <c r="F14" s="309">
        <v>258167</v>
      </c>
      <c r="G14" s="279">
        <f>F14/'- 44 -'!I14</f>
        <v>0.006691684635695914</v>
      </c>
      <c r="H14" s="309">
        <v>0</v>
      </c>
      <c r="I14" s="279">
        <f>H14/'- 44 -'!I14</f>
        <v>0</v>
      </c>
    </row>
    <row r="15" spans="1:9" ht="13.5" customHeight="1">
      <c r="A15" s="387" t="s">
        <v>330</v>
      </c>
      <c r="B15" s="308">
        <v>25495</v>
      </c>
      <c r="C15" s="278">
        <f>B15/'- 44 -'!I15</f>
        <v>0.0019468219420386932</v>
      </c>
      <c r="D15" s="308">
        <v>5719557</v>
      </c>
      <c r="E15" s="278">
        <f>D15/'- 44 -'!I15</f>
        <v>0.43675069881706224</v>
      </c>
      <c r="F15" s="308">
        <v>37108</v>
      </c>
      <c r="G15" s="278">
        <f>F15/'- 44 -'!I15</f>
        <v>0.002833601436562927</v>
      </c>
      <c r="H15" s="308">
        <v>150563</v>
      </c>
      <c r="I15" s="278">
        <f>H15/'- 44 -'!I15</f>
        <v>0.011497130890730409</v>
      </c>
    </row>
    <row r="16" spans="1:9" ht="13.5" customHeight="1">
      <c r="A16" s="388" t="s">
        <v>331</v>
      </c>
      <c r="B16" s="309">
        <v>129795</v>
      </c>
      <c r="C16" s="279">
        <f>B16/'- 44 -'!I16</f>
        <v>0.011674448433018195</v>
      </c>
      <c r="D16" s="309">
        <v>2983511</v>
      </c>
      <c r="E16" s="279">
        <f>D16/'- 44 -'!I16</f>
        <v>0.2683527510215536</v>
      </c>
      <c r="F16" s="309">
        <v>251632</v>
      </c>
      <c r="G16" s="279">
        <f>F16/'- 44 -'!I16</f>
        <v>0.022633112277801414</v>
      </c>
      <c r="H16" s="309">
        <v>54493</v>
      </c>
      <c r="I16" s="279">
        <f>H16/'- 44 -'!I16</f>
        <v>0.004901388485384341</v>
      </c>
    </row>
    <row r="17" spans="1:9" ht="13.5" customHeight="1">
      <c r="A17" s="387" t="s">
        <v>332</v>
      </c>
      <c r="B17" s="308">
        <v>0</v>
      </c>
      <c r="C17" s="278">
        <f>B17/'- 44 -'!I17</f>
        <v>0</v>
      </c>
      <c r="D17" s="308">
        <v>4697682</v>
      </c>
      <c r="E17" s="278">
        <f>D17/'- 44 -'!I17</f>
        <v>0.37128095225073293</v>
      </c>
      <c r="F17" s="308">
        <v>28724</v>
      </c>
      <c r="G17" s="278">
        <f>F17/'- 44 -'!I17</f>
        <v>0.0022701992328237742</v>
      </c>
      <c r="H17" s="308">
        <v>695548</v>
      </c>
      <c r="I17" s="278">
        <f>H17/'- 44 -'!I17</f>
        <v>0.05497258515499619</v>
      </c>
    </row>
    <row r="18" spans="1:9" ht="13.5" customHeight="1">
      <c r="A18" s="388" t="s">
        <v>333</v>
      </c>
      <c r="B18" s="309">
        <v>10984341.63</v>
      </c>
      <c r="C18" s="279">
        <f>B18/'- 44 -'!I18</f>
        <v>0.14757327681956336</v>
      </c>
      <c r="D18" s="309">
        <v>3039178</v>
      </c>
      <c r="E18" s="279">
        <f>D18/'- 44 -'!I18</f>
        <v>0.04083098208389636</v>
      </c>
      <c r="F18" s="309">
        <v>0</v>
      </c>
      <c r="G18" s="279">
        <f>F18/'- 44 -'!I18</f>
        <v>0</v>
      </c>
      <c r="H18" s="309">
        <v>20860691.66</v>
      </c>
      <c r="I18" s="279">
        <f>H18/'- 44 -'!I18</f>
        <v>0.2802608229682981</v>
      </c>
    </row>
    <row r="19" spans="1:9" ht="13.5" customHeight="1">
      <c r="A19" s="387" t="s">
        <v>334</v>
      </c>
      <c r="B19" s="308">
        <v>0</v>
      </c>
      <c r="C19" s="278">
        <f>B19/'- 44 -'!I19</f>
        <v>0</v>
      </c>
      <c r="D19" s="308">
        <v>5532000</v>
      </c>
      <c r="E19" s="278">
        <f>D19/'- 44 -'!I19</f>
        <v>0.30788422373298713</v>
      </c>
      <c r="F19" s="308">
        <v>125924</v>
      </c>
      <c r="G19" s="278">
        <f>F19/'- 44 -'!I19</f>
        <v>0.007008317604727526</v>
      </c>
      <c r="H19" s="308">
        <v>0</v>
      </c>
      <c r="I19" s="278">
        <f>H19/'- 44 -'!I19</f>
        <v>0</v>
      </c>
    </row>
    <row r="20" spans="1:9" ht="13.5" customHeight="1">
      <c r="A20" s="388" t="s">
        <v>335</v>
      </c>
      <c r="B20" s="309">
        <v>0</v>
      </c>
      <c r="C20" s="279">
        <f>B20/'- 44 -'!I20</f>
        <v>0</v>
      </c>
      <c r="D20" s="309">
        <v>10341776</v>
      </c>
      <c r="E20" s="279">
        <f>D20/'- 44 -'!I20</f>
        <v>0.29168364336837993</v>
      </c>
      <c r="F20" s="309">
        <v>321691</v>
      </c>
      <c r="G20" s="279">
        <f>F20/'- 44 -'!I20</f>
        <v>0.009073103393345352</v>
      </c>
      <c r="H20" s="309">
        <v>0</v>
      </c>
      <c r="I20" s="279">
        <f>H20/'- 44 -'!I20</f>
        <v>0</v>
      </c>
    </row>
    <row r="21" spans="1:9" ht="13.5" customHeight="1">
      <c r="A21" s="387" t="s">
        <v>336</v>
      </c>
      <c r="B21" s="308">
        <v>0</v>
      </c>
      <c r="C21" s="278">
        <f>B21/'- 44 -'!I21</f>
        <v>0</v>
      </c>
      <c r="D21" s="308">
        <v>8590000</v>
      </c>
      <c r="E21" s="278">
        <f>D21/'- 44 -'!I21</f>
        <v>0.35636803965301783</v>
      </c>
      <c r="F21" s="308">
        <v>36841</v>
      </c>
      <c r="G21" s="278">
        <f>F21/'- 44 -'!I21</f>
        <v>0.0015283998776317615</v>
      </c>
      <c r="H21" s="308">
        <v>0</v>
      </c>
      <c r="I21" s="278">
        <f>H21/'- 44 -'!I21</f>
        <v>0</v>
      </c>
    </row>
    <row r="22" spans="1:9" ht="13.5" customHeight="1">
      <c r="A22" s="388" t="s">
        <v>337</v>
      </c>
      <c r="B22" s="309">
        <v>17525</v>
      </c>
      <c r="C22" s="279">
        <f>B22/'- 44 -'!I22</f>
        <v>0.001368372091643217</v>
      </c>
      <c r="D22" s="309">
        <v>3144647</v>
      </c>
      <c r="E22" s="279">
        <f>D22/'- 44 -'!I22</f>
        <v>0.24553764295974706</v>
      </c>
      <c r="F22" s="309">
        <v>14567</v>
      </c>
      <c r="G22" s="279">
        <f>F22/'- 44 -'!I22</f>
        <v>0.0011374080604260623</v>
      </c>
      <c r="H22" s="309">
        <v>313086</v>
      </c>
      <c r="I22" s="279">
        <f>H22/'- 44 -'!I22</f>
        <v>0.024446113819355676</v>
      </c>
    </row>
    <row r="23" spans="1:9" ht="13.5" customHeight="1">
      <c r="A23" s="387" t="s">
        <v>338</v>
      </c>
      <c r="B23" s="308">
        <v>0</v>
      </c>
      <c r="C23" s="278">
        <f>B23/'- 44 -'!I23</f>
        <v>0</v>
      </c>
      <c r="D23" s="308">
        <v>2738117</v>
      </c>
      <c r="E23" s="278">
        <f>D23/'- 44 -'!I23</f>
        <v>0.24986031507152698</v>
      </c>
      <c r="F23" s="308">
        <v>91574</v>
      </c>
      <c r="G23" s="278">
        <f>F23/'- 44 -'!I23</f>
        <v>0.008356366251829273</v>
      </c>
      <c r="H23" s="308">
        <v>374257</v>
      </c>
      <c r="I23" s="278">
        <f>H23/'- 44 -'!I23</f>
        <v>0.034151927013244675</v>
      </c>
    </row>
    <row r="24" spans="1:9" ht="13.5" customHeight="1">
      <c r="A24" s="388" t="s">
        <v>339</v>
      </c>
      <c r="B24" s="309">
        <v>21545</v>
      </c>
      <c r="C24" s="279">
        <f>B24/'- 44 -'!I24</f>
        <v>0.0006227081082838676</v>
      </c>
      <c r="D24" s="309">
        <v>13027223</v>
      </c>
      <c r="E24" s="279">
        <f>D24/'- 44 -'!I24</f>
        <v>0.3765215776524526</v>
      </c>
      <c r="F24" s="309">
        <v>208323</v>
      </c>
      <c r="G24" s="279">
        <f>F24/'- 44 -'!I24</f>
        <v>0.006021091726248325</v>
      </c>
      <c r="H24" s="309">
        <v>187630</v>
      </c>
      <c r="I24" s="279">
        <f>H24/'- 44 -'!I24</f>
        <v>0.005423008696091997</v>
      </c>
    </row>
    <row r="25" spans="1:9" ht="13.5" customHeight="1">
      <c r="A25" s="387" t="s">
        <v>340</v>
      </c>
      <c r="B25" s="308">
        <v>20253</v>
      </c>
      <c r="C25" s="278">
        <f>B25/'- 44 -'!I25</f>
        <v>0.00018761671504947846</v>
      </c>
      <c r="D25" s="308">
        <v>43363277</v>
      </c>
      <c r="E25" s="278">
        <f>D25/'- 44 -'!I25</f>
        <v>0.40170224581645203</v>
      </c>
      <c r="F25" s="308">
        <v>362448</v>
      </c>
      <c r="G25" s="278">
        <f>F25/'- 44 -'!I25</f>
        <v>0.003357591622784445</v>
      </c>
      <c r="H25" s="308">
        <v>2485</v>
      </c>
      <c r="I25" s="278">
        <f>H25/'- 44 -'!I25</f>
        <v>2.302017167323132E-05</v>
      </c>
    </row>
    <row r="26" spans="1:9" ht="13.5" customHeight="1">
      <c r="A26" s="388" t="s">
        <v>341</v>
      </c>
      <c r="B26" s="309">
        <v>451532</v>
      </c>
      <c r="C26" s="279">
        <f>B26/'- 44 -'!I26</f>
        <v>0.017198528005407727</v>
      </c>
      <c r="D26" s="309">
        <v>8412964</v>
      </c>
      <c r="E26" s="279">
        <f>D26/'- 44 -'!I26</f>
        <v>0.32044372705032426</v>
      </c>
      <c r="F26" s="309">
        <v>360697</v>
      </c>
      <c r="G26" s="279">
        <f>F26/'- 44 -'!I26</f>
        <v>0.013738688411821423</v>
      </c>
      <c r="H26" s="309">
        <v>331289</v>
      </c>
      <c r="I26" s="279">
        <f>H26/'- 44 -'!I26</f>
        <v>0.012618558915832145</v>
      </c>
    </row>
    <row r="27" spans="1:9" ht="13.5" customHeight="1">
      <c r="A27" s="387" t="s">
        <v>342</v>
      </c>
      <c r="B27" s="308">
        <v>37218</v>
      </c>
      <c r="C27" s="278">
        <f>B27/'- 44 -'!I27</f>
        <v>0.0014341780371459742</v>
      </c>
      <c r="D27" s="308">
        <v>7893320</v>
      </c>
      <c r="E27" s="278">
        <f>D27/'- 44 -'!I27</f>
        <v>0.3041653550476936</v>
      </c>
      <c r="F27" s="308">
        <v>114770</v>
      </c>
      <c r="G27" s="278">
        <f>F27/'- 44 -'!I27</f>
        <v>0.00442260769851264</v>
      </c>
      <c r="H27" s="308">
        <v>315643</v>
      </c>
      <c r="I27" s="278">
        <f>H27/'- 44 -'!I27</f>
        <v>0.012163153801355976</v>
      </c>
    </row>
    <row r="28" spans="1:9" ht="13.5" customHeight="1">
      <c r="A28" s="388" t="s">
        <v>343</v>
      </c>
      <c r="B28" s="309">
        <v>257882</v>
      </c>
      <c r="C28" s="279">
        <f>B28/'- 44 -'!I28</f>
        <v>0.01560007779410755</v>
      </c>
      <c r="D28" s="309">
        <v>5666568</v>
      </c>
      <c r="E28" s="279">
        <f>D28/'- 44 -'!I28</f>
        <v>0.34278818074003004</v>
      </c>
      <c r="F28" s="309">
        <v>14751</v>
      </c>
      <c r="G28" s="279">
        <f>F28/'- 44 -'!I28</f>
        <v>0.0008923334995884958</v>
      </c>
      <c r="H28" s="309">
        <v>793528</v>
      </c>
      <c r="I28" s="279">
        <f>H28/'- 44 -'!I28</f>
        <v>0.04800295690200392</v>
      </c>
    </row>
    <row r="29" spans="1:9" ht="13.5" customHeight="1">
      <c r="A29" s="387" t="s">
        <v>344</v>
      </c>
      <c r="B29" s="308">
        <v>4650</v>
      </c>
      <c r="C29" s="278">
        <f>B29/'- 44 -'!I29</f>
        <v>4.5197342971648905E-05</v>
      </c>
      <c r="D29" s="308">
        <v>51173815</v>
      </c>
      <c r="E29" s="278">
        <f>D29/'- 44 -'!I29</f>
        <v>0.4974022511231637</v>
      </c>
      <c r="F29" s="308">
        <v>823247</v>
      </c>
      <c r="G29" s="278">
        <f>F29/'- 44 -'!I29</f>
        <v>0.00800184451814646</v>
      </c>
      <c r="H29" s="308">
        <v>46720</v>
      </c>
      <c r="I29" s="278">
        <f>H29/'- 44 -'!I29</f>
        <v>0.0004541117986312767</v>
      </c>
    </row>
    <row r="30" spans="1:9" ht="13.5" customHeight="1">
      <c r="A30" s="388" t="s">
        <v>345</v>
      </c>
      <c r="B30" s="309">
        <v>0</v>
      </c>
      <c r="C30" s="279">
        <f>B30/'- 44 -'!I30</f>
        <v>0</v>
      </c>
      <c r="D30" s="309">
        <v>3589089</v>
      </c>
      <c r="E30" s="279">
        <f>D30/'- 44 -'!I30</f>
        <v>0.35430093292654397</v>
      </c>
      <c r="F30" s="309">
        <v>33844</v>
      </c>
      <c r="G30" s="279">
        <f>F30/'- 44 -'!I30</f>
        <v>0.0033409482946691912</v>
      </c>
      <c r="H30" s="309">
        <v>0</v>
      </c>
      <c r="I30" s="279">
        <f>H30/'- 44 -'!I30</f>
        <v>0</v>
      </c>
    </row>
    <row r="31" spans="1:9" ht="13.5" customHeight="1">
      <c r="A31" s="387" t="s">
        <v>346</v>
      </c>
      <c r="B31" s="308">
        <v>17299</v>
      </c>
      <c r="C31" s="278">
        <f>B31/'- 44 -'!I31</f>
        <v>0.0007164734809966995</v>
      </c>
      <c r="D31" s="308">
        <v>8480400</v>
      </c>
      <c r="E31" s="278">
        <f>D31/'- 44 -'!I31</f>
        <v>0.3512331179978271</v>
      </c>
      <c r="F31" s="308">
        <v>10972</v>
      </c>
      <c r="G31" s="278">
        <f>F31/'- 44 -'!I31</f>
        <v>0.00045442783013444635</v>
      </c>
      <c r="H31" s="308">
        <v>494341</v>
      </c>
      <c r="I31" s="278">
        <f>H31/'- 44 -'!I31</f>
        <v>0.020474144000774002</v>
      </c>
    </row>
    <row r="32" spans="1:9" ht="13.5" customHeight="1">
      <c r="A32" s="388" t="s">
        <v>347</v>
      </c>
      <c r="B32" s="309">
        <v>1273</v>
      </c>
      <c r="C32" s="279">
        <f>B32/'- 44 -'!I32</f>
        <v>6.664391454941358E-05</v>
      </c>
      <c r="D32" s="309">
        <v>7430978</v>
      </c>
      <c r="E32" s="279">
        <f>D32/'- 44 -'!I32</f>
        <v>0.3890255010609366</v>
      </c>
      <c r="F32" s="309">
        <v>92674</v>
      </c>
      <c r="G32" s="279">
        <f>F32/'- 44 -'!I32</f>
        <v>0.004851656038454324</v>
      </c>
      <c r="H32" s="309">
        <v>3900</v>
      </c>
      <c r="I32" s="279">
        <f>H32/'- 44 -'!I32</f>
        <v>0.00020417224410268104</v>
      </c>
    </row>
    <row r="33" spans="1:9" ht="13.5" customHeight="1">
      <c r="A33" s="387" t="s">
        <v>348</v>
      </c>
      <c r="B33" s="308">
        <v>15529</v>
      </c>
      <c r="C33" s="278">
        <f>B33/'- 44 -'!I33</f>
        <v>0.00071077375841043</v>
      </c>
      <c r="D33" s="308">
        <v>7508403</v>
      </c>
      <c r="E33" s="278">
        <f>D33/'- 44 -'!I33</f>
        <v>0.343665131043219</v>
      </c>
      <c r="F33" s="308">
        <v>36020</v>
      </c>
      <c r="G33" s="278">
        <f>F33/'- 44 -'!I33</f>
        <v>0.0016486619085545552</v>
      </c>
      <c r="H33" s="308">
        <v>231238</v>
      </c>
      <c r="I33" s="278">
        <f>H33/'- 44 -'!I33</f>
        <v>0.01058393343726647</v>
      </c>
    </row>
    <row r="34" spans="1:9" ht="13.5" customHeight="1">
      <c r="A34" s="388" t="s">
        <v>349</v>
      </c>
      <c r="B34" s="309">
        <v>18448</v>
      </c>
      <c r="C34" s="279">
        <f>B34/'- 44 -'!I34</f>
        <v>0.0009967503496433596</v>
      </c>
      <c r="D34" s="309">
        <v>6830710</v>
      </c>
      <c r="E34" s="279">
        <f>D34/'- 44 -'!I34</f>
        <v>0.36906507918540726</v>
      </c>
      <c r="F34" s="309">
        <v>378314</v>
      </c>
      <c r="G34" s="279">
        <f>F34/'- 44 -'!I34</f>
        <v>0.020440406102286316</v>
      </c>
      <c r="H34" s="309">
        <v>5951</v>
      </c>
      <c r="I34" s="279">
        <f>H34/'- 44 -'!I34</f>
        <v>0.0003215341137645075</v>
      </c>
    </row>
    <row r="35" spans="1:9" ht="13.5" customHeight="1">
      <c r="A35" s="387" t="s">
        <v>350</v>
      </c>
      <c r="B35" s="308">
        <v>22840</v>
      </c>
      <c r="C35" s="278">
        <f>B35/'- 44 -'!I35</f>
        <v>0.0001832084366233729</v>
      </c>
      <c r="D35" s="308">
        <v>46692075</v>
      </c>
      <c r="E35" s="278">
        <f>D35/'- 44 -'!I35</f>
        <v>0.37453511661345334</v>
      </c>
      <c r="F35" s="308">
        <v>823010</v>
      </c>
      <c r="G35" s="278">
        <f>F35/'- 44 -'!I35</f>
        <v>0.006601680185000093</v>
      </c>
      <c r="H35" s="308">
        <v>35352</v>
      </c>
      <c r="I35" s="278">
        <f>H35/'- 44 -'!I35</f>
        <v>0.00028357200750917156</v>
      </c>
    </row>
    <row r="36" spans="1:9" ht="13.5" customHeight="1">
      <c r="A36" s="388" t="s">
        <v>351</v>
      </c>
      <c r="B36" s="309">
        <v>15840</v>
      </c>
      <c r="C36" s="279">
        <f>B36/'- 44 -'!I36</f>
        <v>0.0009634765152295285</v>
      </c>
      <c r="D36" s="309">
        <v>5939641</v>
      </c>
      <c r="E36" s="279">
        <f>D36/'- 44 -'!I36</f>
        <v>0.36128185684308284</v>
      </c>
      <c r="F36" s="309">
        <v>78044</v>
      </c>
      <c r="G36" s="279">
        <f>F36/'- 44 -'!I36</f>
        <v>0.004747068254707912</v>
      </c>
      <c r="H36" s="309">
        <v>776088</v>
      </c>
      <c r="I36" s="279">
        <f>H36/'- 44 -'!I36</f>
        <v>0.047205969807541305</v>
      </c>
    </row>
    <row r="37" spans="1:9" ht="13.5" customHeight="1">
      <c r="A37" s="387" t="s">
        <v>352</v>
      </c>
      <c r="B37" s="308">
        <v>14075</v>
      </c>
      <c r="C37" s="278">
        <f>B37/'- 44 -'!I37</f>
        <v>0.0005631662692093213</v>
      </c>
      <c r="D37" s="308">
        <v>7671514</v>
      </c>
      <c r="E37" s="278">
        <f>D37/'- 44 -'!I37</f>
        <v>0.3069511842676432</v>
      </c>
      <c r="F37" s="308">
        <v>70801</v>
      </c>
      <c r="G37" s="278">
        <f>F37/'- 44 -'!I37</f>
        <v>0.0028328763784219654</v>
      </c>
      <c r="H37" s="308">
        <v>0</v>
      </c>
      <c r="I37" s="278">
        <f>H37/'- 44 -'!I37</f>
        <v>0</v>
      </c>
    </row>
    <row r="38" spans="1:9" ht="13.5" customHeight="1">
      <c r="A38" s="388" t="s">
        <v>353</v>
      </c>
      <c r="B38" s="309">
        <v>15494</v>
      </c>
      <c r="C38" s="279">
        <f>B38/'- 44 -'!I38</f>
        <v>0.0002364473467209168</v>
      </c>
      <c r="D38" s="309">
        <v>24690787</v>
      </c>
      <c r="E38" s="279">
        <f>D38/'- 44 -'!I38</f>
        <v>0.3767956031109658</v>
      </c>
      <c r="F38" s="309">
        <v>855885</v>
      </c>
      <c r="G38" s="279">
        <f>F38/'- 44 -'!I38</f>
        <v>0.013061297105216979</v>
      </c>
      <c r="H38" s="309">
        <v>116018</v>
      </c>
      <c r="I38" s="279">
        <f>H38/'- 44 -'!I38</f>
        <v>0.0017705013729099862</v>
      </c>
    </row>
    <row r="39" spans="1:9" ht="13.5" customHeight="1">
      <c r="A39" s="387" t="s">
        <v>354</v>
      </c>
      <c r="B39" s="308">
        <v>0</v>
      </c>
      <c r="C39" s="278">
        <f>B39/'- 44 -'!I39</f>
        <v>0</v>
      </c>
      <c r="D39" s="308">
        <v>6207581</v>
      </c>
      <c r="E39" s="278">
        <f>D39/'- 44 -'!I39</f>
        <v>0.4136969180298327</v>
      </c>
      <c r="F39" s="308">
        <v>46144</v>
      </c>
      <c r="G39" s="278">
        <f>F39/'- 44 -'!I39</f>
        <v>0.003075212483827211</v>
      </c>
      <c r="H39" s="308">
        <v>0</v>
      </c>
      <c r="I39" s="278">
        <f>H39/'- 44 -'!I39</f>
        <v>0</v>
      </c>
    </row>
    <row r="40" spans="1:9" ht="13.5" customHeight="1">
      <c r="A40" s="388" t="s">
        <v>355</v>
      </c>
      <c r="B40" s="309">
        <v>9040</v>
      </c>
      <c r="C40" s="279">
        <f>B40/'- 44 -'!I40</f>
        <v>0.00013945961097710664</v>
      </c>
      <c r="D40" s="309">
        <v>29300000</v>
      </c>
      <c r="E40" s="279">
        <f>D40/'- 44 -'!I40</f>
        <v>0.4520095798262417</v>
      </c>
      <c r="F40" s="309">
        <v>742015</v>
      </c>
      <c r="G40" s="279">
        <f>F40/'- 44 -'!I40</f>
        <v>0.011447026906988693</v>
      </c>
      <c r="H40" s="309">
        <v>77118</v>
      </c>
      <c r="I40" s="279">
        <f>H40/'- 44 -'!I40</f>
        <v>0.001189695384881915</v>
      </c>
    </row>
    <row r="41" spans="1:9" ht="13.5" customHeight="1">
      <c r="A41" s="387" t="s">
        <v>356</v>
      </c>
      <c r="B41" s="308">
        <v>0</v>
      </c>
      <c r="C41" s="278">
        <f>B41/'- 44 -'!I41</f>
        <v>0</v>
      </c>
      <c r="D41" s="308">
        <v>14690707</v>
      </c>
      <c r="E41" s="278">
        <f>D41/'- 44 -'!I41</f>
        <v>0.37779793288898306</v>
      </c>
      <c r="F41" s="308">
        <v>208612</v>
      </c>
      <c r="G41" s="278">
        <f>F41/'- 44 -'!I41</f>
        <v>0.0053648325009706165</v>
      </c>
      <c r="H41" s="308">
        <v>384134</v>
      </c>
      <c r="I41" s="278">
        <f>H41/'- 44 -'!I41</f>
        <v>0.009878696182040566</v>
      </c>
    </row>
    <row r="42" spans="1:9" ht="13.5" customHeight="1">
      <c r="A42" s="388" t="s">
        <v>357</v>
      </c>
      <c r="B42" s="309">
        <v>24343</v>
      </c>
      <c r="C42" s="279">
        <f>B42/'- 44 -'!I42</f>
        <v>0.00159998611851176</v>
      </c>
      <c r="D42" s="309">
        <v>4639004</v>
      </c>
      <c r="E42" s="279">
        <f>D42/'- 44 -'!I42</f>
        <v>0.30490662628766085</v>
      </c>
      <c r="F42" s="309">
        <v>65416</v>
      </c>
      <c r="G42" s="279">
        <f>F42/'- 44 -'!I42</f>
        <v>0.004299580656803405</v>
      </c>
      <c r="H42" s="309">
        <v>411051</v>
      </c>
      <c r="I42" s="279">
        <f>H42/'- 44 -'!I42</f>
        <v>0.027017043667599615</v>
      </c>
    </row>
    <row r="43" spans="1:9" ht="13.5" customHeight="1">
      <c r="A43" s="387" t="s">
        <v>358</v>
      </c>
      <c r="B43" s="308">
        <v>797</v>
      </c>
      <c r="C43" s="278">
        <f>B43/'- 44 -'!I43</f>
        <v>8.426482796653429E-05</v>
      </c>
      <c r="D43" s="308">
        <v>3713514</v>
      </c>
      <c r="E43" s="278">
        <f>D43/'- 44 -'!I43</f>
        <v>0.39262060020240475</v>
      </c>
      <c r="F43" s="308">
        <v>28622</v>
      </c>
      <c r="G43" s="278">
        <f>F43/'- 44 -'!I43</f>
        <v>0.003026132880875965</v>
      </c>
      <c r="H43" s="308">
        <v>0</v>
      </c>
      <c r="I43" s="278">
        <f>H43/'- 44 -'!I43</f>
        <v>0</v>
      </c>
    </row>
    <row r="44" spans="1:9" ht="13.5" customHeight="1">
      <c r="A44" s="388" t="s">
        <v>359</v>
      </c>
      <c r="B44" s="309">
        <v>29410</v>
      </c>
      <c r="C44" s="279">
        <f>B44/'- 44 -'!I44</f>
        <v>0.004194410124886743</v>
      </c>
      <c r="D44" s="309">
        <v>2075405</v>
      </c>
      <c r="E44" s="279">
        <f>D44/'- 44 -'!I44</f>
        <v>0.2959911508072279</v>
      </c>
      <c r="F44" s="309">
        <v>40740</v>
      </c>
      <c r="G44" s="279">
        <f>F44/'- 44 -'!I44</f>
        <v>0.005810277745252836</v>
      </c>
      <c r="H44" s="309">
        <v>23369</v>
      </c>
      <c r="I44" s="279">
        <f>H44/'- 44 -'!I44</f>
        <v>0.003332851758193754</v>
      </c>
    </row>
    <row r="45" spans="1:9" ht="13.5" customHeight="1">
      <c r="A45" s="387" t="s">
        <v>360</v>
      </c>
      <c r="B45" s="308">
        <v>117713</v>
      </c>
      <c r="C45" s="278">
        <f>B45/'- 44 -'!I45</f>
        <v>0.011468829128739026</v>
      </c>
      <c r="D45" s="308">
        <v>3636947</v>
      </c>
      <c r="E45" s="278">
        <f>D45/'- 44 -'!I45</f>
        <v>0.35434933858860124</v>
      </c>
      <c r="F45" s="308">
        <v>49615</v>
      </c>
      <c r="G45" s="278">
        <f>F45/'- 44 -'!I45</f>
        <v>0.00483401117312775</v>
      </c>
      <c r="H45" s="308">
        <v>0</v>
      </c>
      <c r="I45" s="278">
        <f>H45/'- 44 -'!I45</f>
        <v>0</v>
      </c>
    </row>
    <row r="46" spans="1:9" ht="13.5" customHeight="1">
      <c r="A46" s="388" t="s">
        <v>361</v>
      </c>
      <c r="B46" s="309">
        <v>10325</v>
      </c>
      <c r="C46" s="279">
        <f>B46/'- 44 -'!I46</f>
        <v>3.9861911697445366E-05</v>
      </c>
      <c r="D46" s="309">
        <v>114485583</v>
      </c>
      <c r="E46" s="279">
        <f>D46/'- 44 -'!I46</f>
        <v>0.4419965327047508</v>
      </c>
      <c r="F46" s="309">
        <v>2420389</v>
      </c>
      <c r="G46" s="279">
        <f>F46/'- 44 -'!I46</f>
        <v>0.009344438991909742</v>
      </c>
      <c r="H46" s="309">
        <v>2147900</v>
      </c>
      <c r="I46" s="279">
        <f>H46/'- 44 -'!I46</f>
        <v>0.00829243584842062</v>
      </c>
    </row>
    <row r="47" spans="1:9" ht="13.5" customHeight="1">
      <c r="A47" s="387" t="s">
        <v>365</v>
      </c>
      <c r="B47" s="308">
        <v>0</v>
      </c>
      <c r="C47" s="278">
        <f>B47/'- 44 -'!I47</f>
        <v>0</v>
      </c>
      <c r="D47" s="308">
        <v>0</v>
      </c>
      <c r="E47" s="278">
        <f>D47/'- 44 -'!I47</f>
        <v>0</v>
      </c>
      <c r="F47" s="308">
        <v>3181405</v>
      </c>
      <c r="G47" s="278">
        <f>F47/'- 44 -'!I47</f>
        <v>0.33471015906966417</v>
      </c>
      <c r="H47" s="308">
        <v>0</v>
      </c>
      <c r="I47" s="278">
        <f>H47/'- 44 -'!I47</f>
        <v>0</v>
      </c>
    </row>
    <row r="48" spans="1:9" ht="4.5" customHeight="1">
      <c r="A48" s="389"/>
      <c r="B48" s="310"/>
      <c r="C48" s="162"/>
      <c r="D48" s="310"/>
      <c r="E48" s="162"/>
      <c r="F48" s="310"/>
      <c r="G48" s="162"/>
      <c r="H48" s="310"/>
      <c r="I48" s="162"/>
    </row>
    <row r="49" spans="1:9" ht="13.5" customHeight="1">
      <c r="A49" s="383" t="s">
        <v>362</v>
      </c>
      <c r="B49" s="311">
        <f>SUM(B11:B47)</f>
        <v>15153549.63</v>
      </c>
      <c r="C49" s="81">
        <f>B49/'- 44 -'!$I49</f>
        <v>0.010846013096202903</v>
      </c>
      <c r="D49" s="311">
        <f>SUM(D11:D47)</f>
        <v>513357838</v>
      </c>
      <c r="E49" s="81">
        <f>D49/'- 44 -'!$I49</f>
        <v>0.3674311280152786</v>
      </c>
      <c r="F49" s="311">
        <f>SUM(F11:F47)</f>
        <v>12681881</v>
      </c>
      <c r="G49" s="81">
        <f>F49/'- 44 -'!$I49</f>
        <v>0.009076939117827455</v>
      </c>
      <c r="H49" s="311">
        <f>SUM(H11:H47)</f>
        <v>29542560.66</v>
      </c>
      <c r="I49" s="81">
        <f>H49/'- 44 -'!$I49</f>
        <v>0.021144814755440812</v>
      </c>
    </row>
    <row r="50" spans="1:9" ht="4.5" customHeight="1">
      <c r="A50" s="389" t="s">
        <v>15</v>
      </c>
      <c r="B50" s="310"/>
      <c r="C50" s="162"/>
      <c r="D50" s="310"/>
      <c r="E50" s="162"/>
      <c r="F50" s="310"/>
      <c r="G50" s="162"/>
      <c r="H50" s="310"/>
      <c r="I50" s="162"/>
    </row>
    <row r="51" spans="1:9" ht="13.5" customHeight="1">
      <c r="A51" s="388" t="s">
        <v>363</v>
      </c>
      <c r="B51" s="309">
        <v>0</v>
      </c>
      <c r="C51" s="279">
        <f>B51/'- 44 -'!I51</f>
        <v>0</v>
      </c>
      <c r="D51" s="309">
        <v>0</v>
      </c>
      <c r="E51" s="279">
        <f>D51/'- 44 -'!I51</f>
        <v>0</v>
      </c>
      <c r="F51" s="309">
        <v>172705</v>
      </c>
      <c r="G51" s="279">
        <f>F51/'- 44 -'!I51</f>
        <v>0.12778093048755856</v>
      </c>
      <c r="H51" s="309">
        <v>170047</v>
      </c>
      <c r="I51" s="279">
        <f>H51/'- 44 -'!I51</f>
        <v>0.12581433013877924</v>
      </c>
    </row>
    <row r="52" spans="1:9" ht="13.5" customHeight="1">
      <c r="A52" s="387" t="s">
        <v>364</v>
      </c>
      <c r="B52" s="308">
        <v>0</v>
      </c>
      <c r="C52" s="278">
        <f>B52/'- 44 -'!I52</f>
        <v>0</v>
      </c>
      <c r="D52" s="308">
        <v>1769646</v>
      </c>
      <c r="E52" s="278">
        <f>D52/'- 44 -'!I52</f>
        <v>0.7332678923115363</v>
      </c>
      <c r="F52" s="308">
        <v>141360</v>
      </c>
      <c r="G52" s="278">
        <f>F52/'- 44 -'!I52</f>
        <v>0.05857371997402801</v>
      </c>
      <c r="H52" s="308">
        <v>0</v>
      </c>
      <c r="I52" s="278">
        <f>H52/'- 44 -'!I52</f>
        <v>0</v>
      </c>
    </row>
    <row r="53" ht="49.5" customHeight="1"/>
    <row r="54" spans="1:9" ht="12" customHeight="1">
      <c r="A54" s="3"/>
      <c r="B54" s="9"/>
      <c r="C54" s="9"/>
      <c r="D54" s="9"/>
      <c r="E54" s="9"/>
      <c r="F54" s="9"/>
      <c r="G54" s="9"/>
      <c r="H54" s="9"/>
      <c r="I54" s="9"/>
    </row>
    <row r="55" spans="1:9" ht="12" customHeight="1">
      <c r="A55" s="3"/>
      <c r="B55" s="9"/>
      <c r="C55" s="9"/>
      <c r="D55" s="9"/>
      <c r="E55" s="9"/>
      <c r="F55" s="9"/>
      <c r="G55" s="9"/>
      <c r="H55" s="9"/>
      <c r="I55" s="9"/>
    </row>
    <row r="56" spans="1:9" ht="12" customHeight="1">
      <c r="A56" s="3"/>
      <c r="B56" s="9"/>
      <c r="C56" s="9"/>
      <c r="D56" s="9"/>
      <c r="E56" s="9"/>
      <c r="F56" s="9"/>
      <c r="G56" s="9"/>
      <c r="H56" s="9"/>
      <c r="I56" s="9"/>
    </row>
    <row r="57" spans="1:9" ht="12" customHeight="1">
      <c r="A57" s="3"/>
      <c r="B57" s="9"/>
      <c r="C57" s="9"/>
      <c r="D57" s="9"/>
      <c r="E57" s="9"/>
      <c r="F57" s="9"/>
      <c r="G57" s="9"/>
      <c r="H57" s="9"/>
      <c r="I57" s="9"/>
    </row>
    <row r="58" spans="1:9" ht="12" customHeight="1">
      <c r="A58" s="3"/>
      <c r="B58" s="9"/>
      <c r="C58" s="9"/>
      <c r="D58" s="9"/>
      <c r="E58" s="9"/>
      <c r="F58" s="9"/>
      <c r="G58" s="9"/>
      <c r="H58" s="9"/>
      <c r="I58" s="9"/>
    </row>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8"/>
  <sheetViews>
    <sheetView showGridLines="0" showZeros="0" workbookViewId="0" topLeftCell="A1">
      <selection activeCell="A1" sqref="A1"/>
    </sheetView>
  </sheetViews>
  <sheetFormatPr defaultColWidth="15.83203125" defaultRowHeight="12"/>
  <cols>
    <col min="1" max="1" width="35.83203125" style="67" customWidth="1"/>
    <col min="2" max="2" width="15.83203125" style="67" customWidth="1"/>
    <col min="3" max="3" width="8.83203125" style="67" customWidth="1"/>
    <col min="4" max="4" width="15.83203125" style="67" customWidth="1"/>
    <col min="5" max="5" width="8.83203125" style="67" customWidth="1"/>
    <col min="6" max="6" width="15.83203125" style="67" customWidth="1"/>
    <col min="7" max="7" width="8.83203125" style="67" customWidth="1"/>
    <col min="8" max="8" width="4.83203125" style="67" customWidth="1"/>
    <col min="9" max="9" width="19.83203125" style="67" customWidth="1"/>
    <col min="10" max="16384" width="15.83203125" style="67" customWidth="1"/>
  </cols>
  <sheetData>
    <row r="1" ht="6.75" customHeight="1">
      <c r="A1" s="65"/>
    </row>
    <row r="2" spans="1:9" ht="15.75" customHeight="1">
      <c r="A2" s="338"/>
      <c r="B2" s="474" t="str">
        <f>REVYEAR</f>
        <v>ANALYSIS OF OPERATING FUND REVENUE: 2002/2003 ACTUAL</v>
      </c>
      <c r="C2" s="85"/>
      <c r="D2" s="85"/>
      <c r="E2" s="85"/>
      <c r="F2" s="85"/>
      <c r="G2" s="341"/>
      <c r="H2" s="238"/>
      <c r="I2" s="340" t="s">
        <v>17</v>
      </c>
    </row>
    <row r="3" ht="15.75" customHeight="1">
      <c r="A3" s="87"/>
    </row>
    <row r="4" spans="2:9" ht="15.75" customHeight="1">
      <c r="B4" s="125"/>
      <c r="C4" s="116"/>
      <c r="D4" s="116"/>
      <c r="E4" s="116"/>
      <c r="F4" s="116"/>
      <c r="G4" s="116"/>
      <c r="H4" s="116"/>
      <c r="I4" s="116"/>
    </row>
    <row r="5" spans="2:9" ht="15.75" customHeight="1">
      <c r="B5" s="43"/>
      <c r="C5" s="116"/>
      <c r="D5" s="116"/>
      <c r="E5" s="116"/>
      <c r="F5" s="116"/>
      <c r="G5" s="116"/>
      <c r="H5" s="116"/>
      <c r="I5" s="116"/>
    </row>
    <row r="6" spans="2:9" ht="15.75" customHeight="1">
      <c r="B6" s="53" t="s">
        <v>133</v>
      </c>
      <c r="C6" s="52"/>
      <c r="D6" s="148"/>
      <c r="E6" s="148"/>
      <c r="F6" s="53" t="s">
        <v>81</v>
      </c>
      <c r="G6" s="52"/>
      <c r="H6" s="116"/>
      <c r="I6" s="118" t="s">
        <v>81</v>
      </c>
    </row>
    <row r="7" spans="2:9" ht="15.75" customHeight="1">
      <c r="B7" s="142" t="s">
        <v>144</v>
      </c>
      <c r="C7" s="144"/>
      <c r="D7" s="149"/>
      <c r="E7" s="149"/>
      <c r="F7" s="142" t="s">
        <v>145</v>
      </c>
      <c r="G7" s="144"/>
      <c r="H7" s="116"/>
      <c r="I7" s="120" t="s">
        <v>146</v>
      </c>
    </row>
    <row r="8" spans="1:9" ht="15.75" customHeight="1">
      <c r="A8" s="313"/>
      <c r="B8" s="55" t="s">
        <v>166</v>
      </c>
      <c r="C8" s="56"/>
      <c r="D8" s="55" t="s">
        <v>69</v>
      </c>
      <c r="E8" s="55"/>
      <c r="F8" s="54" t="s">
        <v>167</v>
      </c>
      <c r="G8" s="56"/>
      <c r="H8" s="116"/>
      <c r="I8" s="150" t="s">
        <v>162</v>
      </c>
    </row>
    <row r="9" spans="1:9" ht="15.75" customHeight="1">
      <c r="A9" s="314" t="s">
        <v>112</v>
      </c>
      <c r="B9" s="127" t="s">
        <v>167</v>
      </c>
      <c r="C9" s="126" t="s">
        <v>114</v>
      </c>
      <c r="D9" s="151" t="s">
        <v>167</v>
      </c>
      <c r="E9" s="151" t="s">
        <v>114</v>
      </c>
      <c r="F9" s="126" t="s">
        <v>167</v>
      </c>
      <c r="G9" s="151" t="s">
        <v>114</v>
      </c>
      <c r="H9" s="116"/>
      <c r="I9" s="151" t="s">
        <v>167</v>
      </c>
    </row>
    <row r="10" spans="1:9" ht="4.5" customHeight="1">
      <c r="A10" s="62"/>
      <c r="B10" s="122"/>
      <c r="C10" s="122"/>
      <c r="D10" s="122"/>
      <c r="E10" s="122"/>
      <c r="F10" s="122"/>
      <c r="G10" s="136"/>
      <c r="H10" s="65"/>
      <c r="I10" s="122"/>
    </row>
    <row r="11" spans="1:9" ht="13.5" customHeight="1">
      <c r="A11" s="387" t="s">
        <v>327</v>
      </c>
      <c r="B11" s="308">
        <v>61437</v>
      </c>
      <c r="C11" s="278">
        <f>B11/I11</f>
        <v>0.005442245205846766</v>
      </c>
      <c r="D11" s="308">
        <v>105023</v>
      </c>
      <c r="E11" s="278">
        <f>D11/I11</f>
        <v>0.009303203578521818</v>
      </c>
      <c r="F11" s="308">
        <f>SUM('- 43 -'!B11,'- 43 -'!D11,'- 43 -'!F11,'- 43 -'!H11,B11,D11)</f>
        <v>4392533</v>
      </c>
      <c r="G11" s="278">
        <f>F11/I11</f>
        <v>0.3891017084293457</v>
      </c>
      <c r="I11" s="308">
        <f>SUM('- 42 -'!F11,F11)</f>
        <v>11288907</v>
      </c>
    </row>
    <row r="12" spans="1:9" ht="13.5" customHeight="1">
      <c r="A12" s="388" t="s">
        <v>328</v>
      </c>
      <c r="B12" s="309">
        <v>127194</v>
      </c>
      <c r="C12" s="279">
        <f aca="true" t="shared" si="0" ref="C12:C47">B12/I12</f>
        <v>0.006875624889725342</v>
      </c>
      <c r="D12" s="309">
        <v>82142</v>
      </c>
      <c r="E12" s="279">
        <f aca="true" t="shared" si="1" ref="E12:E47">D12/I12</f>
        <v>0.004440284759436916</v>
      </c>
      <c r="F12" s="309">
        <f>SUM('- 43 -'!B12,'- 43 -'!D12,'- 43 -'!F12,'- 43 -'!H12,B12,D12)</f>
        <v>6790089</v>
      </c>
      <c r="G12" s="279">
        <f>F12/I12</f>
        <v>0.3670464403340587</v>
      </c>
      <c r="I12" s="309">
        <f>SUM('- 42 -'!F12,F12)</f>
        <v>18499264</v>
      </c>
    </row>
    <row r="13" spans="1:9" ht="13.5" customHeight="1">
      <c r="A13" s="387" t="s">
        <v>329</v>
      </c>
      <c r="B13" s="308">
        <v>575531</v>
      </c>
      <c r="C13" s="278">
        <f t="shared" si="0"/>
        <v>0.01212090540539886</v>
      </c>
      <c r="D13" s="308">
        <v>84518</v>
      </c>
      <c r="E13" s="278">
        <f t="shared" si="1"/>
        <v>0.0017799817612839288</v>
      </c>
      <c r="F13" s="308">
        <f>SUM('- 43 -'!B13,'- 43 -'!D13,'- 43 -'!F13,'- 43 -'!H13,B13,D13)</f>
        <v>19279735</v>
      </c>
      <c r="G13" s="278">
        <f aca="true" t="shared" si="2" ref="G13:G47">F13/I13</f>
        <v>0.4060386741568353</v>
      </c>
      <c r="I13" s="308">
        <f>SUM('- 42 -'!F13,F13)</f>
        <v>47482509</v>
      </c>
    </row>
    <row r="14" spans="1:9" ht="13.5" customHeight="1">
      <c r="A14" s="388" t="s">
        <v>366</v>
      </c>
      <c r="B14" s="309">
        <v>70517</v>
      </c>
      <c r="C14" s="279">
        <f t="shared" si="0"/>
        <v>0.0018277995462447514</v>
      </c>
      <c r="D14" s="309">
        <v>35344</v>
      </c>
      <c r="E14" s="279">
        <f t="shared" si="1"/>
        <v>0.0009161159317962264</v>
      </c>
      <c r="F14" s="309">
        <f>SUM('- 43 -'!B14,'- 43 -'!D14,'- 43 -'!F14,'- 43 -'!H14,B14,D14)</f>
        <v>14459330</v>
      </c>
      <c r="G14" s="279">
        <f t="shared" si="2"/>
        <v>0.37478560932829136</v>
      </c>
      <c r="I14" s="309">
        <f>SUM('- 42 -'!F14,F14)</f>
        <v>38580270</v>
      </c>
    </row>
    <row r="15" spans="1:9" ht="13.5" customHeight="1">
      <c r="A15" s="387" t="s">
        <v>330</v>
      </c>
      <c r="B15" s="308">
        <v>145619</v>
      </c>
      <c r="C15" s="278">
        <f t="shared" si="0"/>
        <v>0.011119602446665326</v>
      </c>
      <c r="D15" s="308">
        <v>4535</v>
      </c>
      <c r="E15" s="278">
        <f t="shared" si="1"/>
        <v>0.00034629682318672186</v>
      </c>
      <c r="F15" s="308">
        <f>SUM('- 43 -'!B15,'- 43 -'!D15,'- 43 -'!F15,'- 43 -'!H15,B15,D15)</f>
        <v>6082877</v>
      </c>
      <c r="G15" s="278">
        <f t="shared" si="2"/>
        <v>0.46449415235624636</v>
      </c>
      <c r="I15" s="308">
        <f>SUM('- 42 -'!F15,F15)</f>
        <v>13095702</v>
      </c>
    </row>
    <row r="16" spans="1:9" ht="13.5" customHeight="1">
      <c r="A16" s="388" t="s">
        <v>331</v>
      </c>
      <c r="B16" s="309">
        <v>1217856</v>
      </c>
      <c r="C16" s="279">
        <f t="shared" si="0"/>
        <v>0.10954040657068305</v>
      </c>
      <c r="D16" s="309">
        <v>77063</v>
      </c>
      <c r="E16" s="279">
        <f t="shared" si="1"/>
        <v>0.006931453596777081</v>
      </c>
      <c r="F16" s="309">
        <f>SUM('- 43 -'!B16,'- 43 -'!D16,'- 43 -'!F16,'- 43 -'!H16,B16,D16)</f>
        <v>4714350</v>
      </c>
      <c r="G16" s="279">
        <f t="shared" si="2"/>
        <v>0.42403356038521767</v>
      </c>
      <c r="I16" s="309">
        <f>SUM('- 42 -'!F16,F16)</f>
        <v>11117870</v>
      </c>
    </row>
    <row r="17" spans="1:9" ht="13.5" customHeight="1">
      <c r="A17" s="387" t="s">
        <v>332</v>
      </c>
      <c r="B17" s="308">
        <v>2765</v>
      </c>
      <c r="C17" s="278">
        <f t="shared" si="0"/>
        <v>0.00021853157216118003</v>
      </c>
      <c r="D17" s="308">
        <v>99722</v>
      </c>
      <c r="E17" s="278">
        <f t="shared" si="1"/>
        <v>0.007881520954451065</v>
      </c>
      <c r="F17" s="308">
        <f>SUM('- 43 -'!B17,'- 43 -'!D17,'- 43 -'!F17,'- 43 -'!H17,B17,D17)</f>
        <v>5524441</v>
      </c>
      <c r="G17" s="278">
        <f t="shared" si="2"/>
        <v>0.43662378916516514</v>
      </c>
      <c r="I17" s="308">
        <f>SUM('- 42 -'!F17,F17)</f>
        <v>12652634</v>
      </c>
    </row>
    <row r="18" spans="1:9" ht="13.5" customHeight="1">
      <c r="A18" s="388" t="s">
        <v>333</v>
      </c>
      <c r="B18" s="309">
        <v>2651601.06</v>
      </c>
      <c r="C18" s="279">
        <f t="shared" si="0"/>
        <v>0.03562393363419339</v>
      </c>
      <c r="D18" s="309">
        <v>174703.72</v>
      </c>
      <c r="E18" s="279">
        <f t="shared" si="1"/>
        <v>0.002347122959336388</v>
      </c>
      <c r="F18" s="309">
        <f>SUM('- 43 -'!B18,'- 43 -'!D18,'- 43 -'!F18,'- 43 -'!H18,B18,D18)</f>
        <v>37710516.07</v>
      </c>
      <c r="G18" s="279">
        <f t="shared" si="2"/>
        <v>0.5066361384652875</v>
      </c>
      <c r="I18" s="309">
        <f>SUM('- 42 -'!F18,F18)</f>
        <v>74433134.96000001</v>
      </c>
    </row>
    <row r="19" spans="1:9" ht="13.5" customHeight="1">
      <c r="A19" s="387" t="s">
        <v>334</v>
      </c>
      <c r="B19" s="308">
        <v>3987</v>
      </c>
      <c r="C19" s="278">
        <f t="shared" si="0"/>
        <v>0.00022189703543445765</v>
      </c>
      <c r="D19" s="308">
        <v>166145</v>
      </c>
      <c r="E19" s="278">
        <f t="shared" si="1"/>
        <v>0.009246822912530215</v>
      </c>
      <c r="F19" s="308">
        <f>SUM('- 43 -'!B19,'- 43 -'!D19,'- 43 -'!F19,'- 43 -'!H19,B19,D19)</f>
        <v>5828056</v>
      </c>
      <c r="G19" s="278">
        <f t="shared" si="2"/>
        <v>0.3243612612856793</v>
      </c>
      <c r="I19" s="308">
        <f>SUM('- 42 -'!F19,F19)</f>
        <v>17967793</v>
      </c>
    </row>
    <row r="20" spans="1:9" ht="13.5" customHeight="1">
      <c r="A20" s="388" t="s">
        <v>335</v>
      </c>
      <c r="B20" s="309">
        <v>333335</v>
      </c>
      <c r="C20" s="279">
        <f t="shared" si="0"/>
        <v>0.009401515490395357</v>
      </c>
      <c r="D20" s="309">
        <v>154798</v>
      </c>
      <c r="E20" s="279">
        <f t="shared" si="1"/>
        <v>0.004365985554718887</v>
      </c>
      <c r="F20" s="309">
        <f>SUM('- 43 -'!B20,'- 43 -'!D20,'- 43 -'!F20,'- 43 -'!H20,B20,D20)</f>
        <v>11151600</v>
      </c>
      <c r="G20" s="279">
        <f t="shared" si="2"/>
        <v>0.3145242478068395</v>
      </c>
      <c r="I20" s="309">
        <f>SUM('- 42 -'!F20,F20)</f>
        <v>35455454</v>
      </c>
    </row>
    <row r="21" spans="1:9" ht="13.5" customHeight="1">
      <c r="A21" s="387" t="s">
        <v>336</v>
      </c>
      <c r="B21" s="308">
        <v>212363</v>
      </c>
      <c r="C21" s="278">
        <f t="shared" si="0"/>
        <v>0.008810172992413717</v>
      </c>
      <c r="D21" s="308">
        <v>74755</v>
      </c>
      <c r="E21" s="278">
        <f t="shared" si="1"/>
        <v>0.0031013146454320546</v>
      </c>
      <c r="F21" s="308">
        <f>SUM('- 43 -'!B21,'- 43 -'!D21,'- 43 -'!F21,'- 43 -'!H21,B21,D21)</f>
        <v>8913959</v>
      </c>
      <c r="G21" s="278">
        <f t="shared" si="2"/>
        <v>0.36980792716849537</v>
      </c>
      <c r="I21" s="308">
        <f>SUM('- 42 -'!F21,F21)</f>
        <v>24104294</v>
      </c>
    </row>
    <row r="22" spans="1:9" ht="13.5" customHeight="1">
      <c r="A22" s="388" t="s">
        <v>337</v>
      </c>
      <c r="B22" s="309">
        <v>0</v>
      </c>
      <c r="C22" s="279">
        <f t="shared" si="0"/>
        <v>0</v>
      </c>
      <c r="D22" s="309">
        <v>109488</v>
      </c>
      <c r="E22" s="279">
        <f t="shared" si="1"/>
        <v>0.008548948563185879</v>
      </c>
      <c r="F22" s="309">
        <f>SUM('- 43 -'!B22,'- 43 -'!D22,'- 43 -'!F22,'- 43 -'!H22,B22,D22)</f>
        <v>3599313</v>
      </c>
      <c r="G22" s="279">
        <f t="shared" si="2"/>
        <v>0.2810384854943579</v>
      </c>
      <c r="I22" s="309">
        <f>SUM('- 42 -'!F22,F22)</f>
        <v>12807189</v>
      </c>
    </row>
    <row r="23" spans="1:9" ht="13.5" customHeight="1">
      <c r="A23" s="387" t="s">
        <v>338</v>
      </c>
      <c r="B23" s="308">
        <v>41999</v>
      </c>
      <c r="C23" s="278">
        <f t="shared" si="0"/>
        <v>0.0038325182498370456</v>
      </c>
      <c r="D23" s="308">
        <v>115219</v>
      </c>
      <c r="E23" s="278">
        <f t="shared" si="1"/>
        <v>0.010514034149098182</v>
      </c>
      <c r="F23" s="308">
        <f>SUM('- 43 -'!B23,'- 43 -'!D23,'- 43 -'!F23,'- 43 -'!H23,B23,D23)</f>
        <v>3361166</v>
      </c>
      <c r="G23" s="278">
        <f t="shared" si="2"/>
        <v>0.3067151607355362</v>
      </c>
      <c r="I23" s="308">
        <f>SUM('- 42 -'!F23,F23)</f>
        <v>10958591</v>
      </c>
    </row>
    <row r="24" spans="1:9" ht="13.5" customHeight="1">
      <c r="A24" s="388" t="s">
        <v>339</v>
      </c>
      <c r="B24" s="309">
        <v>549985</v>
      </c>
      <c r="C24" s="279">
        <f t="shared" si="0"/>
        <v>0.01589603708213056</v>
      </c>
      <c r="D24" s="309">
        <v>86551</v>
      </c>
      <c r="E24" s="279">
        <f t="shared" si="1"/>
        <v>0.0025015553251370166</v>
      </c>
      <c r="F24" s="309">
        <f>SUM('- 43 -'!B24,'- 43 -'!D24,'- 43 -'!F24,'- 43 -'!H24,B24,D24)</f>
        <v>14081257</v>
      </c>
      <c r="G24" s="279">
        <f t="shared" si="2"/>
        <v>0.40698597859034435</v>
      </c>
      <c r="I24" s="309">
        <f>SUM('- 42 -'!F24,F24)</f>
        <v>34598875</v>
      </c>
    </row>
    <row r="25" spans="1:9" ht="13.5" customHeight="1">
      <c r="A25" s="387" t="s">
        <v>340</v>
      </c>
      <c r="B25" s="308">
        <v>1260793</v>
      </c>
      <c r="C25" s="278">
        <f t="shared" si="0"/>
        <v>0.01167954579654259</v>
      </c>
      <c r="D25" s="308">
        <v>596219</v>
      </c>
      <c r="E25" s="278">
        <f t="shared" si="1"/>
        <v>0.005523164480821853</v>
      </c>
      <c r="F25" s="308">
        <f>SUM('- 43 -'!B25,'- 43 -'!D25,'- 43 -'!F25,'- 43 -'!H25,B25,D25)</f>
        <v>45605475</v>
      </c>
      <c r="G25" s="278">
        <f t="shared" si="2"/>
        <v>0.4224731846033236</v>
      </c>
      <c r="I25" s="308">
        <f>SUM('- 42 -'!F25,F25)</f>
        <v>107948804</v>
      </c>
    </row>
    <row r="26" spans="1:9" ht="13.5" customHeight="1">
      <c r="A26" s="388" t="s">
        <v>341</v>
      </c>
      <c r="B26" s="309">
        <v>251441</v>
      </c>
      <c r="C26" s="279">
        <f t="shared" si="0"/>
        <v>0.00957720622283188</v>
      </c>
      <c r="D26" s="309">
        <v>91402</v>
      </c>
      <c r="E26" s="279">
        <f t="shared" si="1"/>
        <v>0.003481436214377446</v>
      </c>
      <c r="F26" s="309">
        <f>SUM('- 43 -'!B26,'- 43 -'!D26,'- 43 -'!F26,'- 43 -'!H26,B26,D26)</f>
        <v>9899325</v>
      </c>
      <c r="G26" s="279">
        <f t="shared" si="2"/>
        <v>0.37705814482059485</v>
      </c>
      <c r="I26" s="309">
        <f>SUM('- 42 -'!F26,F26)</f>
        <v>26254107.32</v>
      </c>
    </row>
    <row r="27" spans="1:9" ht="13.5" customHeight="1">
      <c r="A27" s="387" t="s">
        <v>342</v>
      </c>
      <c r="B27" s="308">
        <v>37184</v>
      </c>
      <c r="C27" s="278">
        <f t="shared" si="0"/>
        <v>0.0014328678632176876</v>
      </c>
      <c r="D27" s="308">
        <v>107068</v>
      </c>
      <c r="E27" s="278">
        <f t="shared" si="1"/>
        <v>0.004125814769228469</v>
      </c>
      <c r="F27" s="308">
        <f>SUM('- 43 -'!B27,'- 43 -'!D27,'- 43 -'!F27,'- 43 -'!H27,B27,D27)</f>
        <v>8505203</v>
      </c>
      <c r="G27" s="278">
        <f t="shared" si="2"/>
        <v>0.32774397721715437</v>
      </c>
      <c r="I27" s="308">
        <f>SUM('- 42 -'!F27,F27)</f>
        <v>25950753</v>
      </c>
    </row>
    <row r="28" spans="1:9" ht="13.5" customHeight="1">
      <c r="A28" s="388" t="s">
        <v>343</v>
      </c>
      <c r="B28" s="309">
        <v>32889</v>
      </c>
      <c r="C28" s="279">
        <f t="shared" si="0"/>
        <v>0.001989557078704226</v>
      </c>
      <c r="D28" s="309">
        <v>29880</v>
      </c>
      <c r="E28" s="279">
        <f t="shared" si="1"/>
        <v>0.0018075333853775509</v>
      </c>
      <c r="F28" s="309">
        <f>SUM('- 43 -'!B28,'- 43 -'!D28,'- 43 -'!F28,'- 43 -'!H28,B28,D28)</f>
        <v>6795498</v>
      </c>
      <c r="G28" s="279">
        <f t="shared" si="2"/>
        <v>0.4110806393998118</v>
      </c>
      <c r="I28" s="309">
        <f>SUM('- 42 -'!F28,F28)</f>
        <v>16530815</v>
      </c>
    </row>
    <row r="29" spans="1:9" ht="13.5" customHeight="1">
      <c r="A29" s="387" t="s">
        <v>344</v>
      </c>
      <c r="B29" s="308">
        <v>1664015</v>
      </c>
      <c r="C29" s="278">
        <f t="shared" si="0"/>
        <v>0.016173990680638354</v>
      </c>
      <c r="D29" s="308">
        <v>158731</v>
      </c>
      <c r="E29" s="278">
        <f t="shared" si="1"/>
        <v>0.001542842891878022</v>
      </c>
      <c r="F29" s="308">
        <f>SUM('- 43 -'!B29,'- 43 -'!D29,'- 43 -'!F29,'- 43 -'!H29,B29,D29)</f>
        <v>53871178</v>
      </c>
      <c r="G29" s="278">
        <f t="shared" si="2"/>
        <v>0.5236202383554295</v>
      </c>
      <c r="I29" s="308">
        <f>SUM('- 42 -'!F29,F29)</f>
        <v>102882154</v>
      </c>
    </row>
    <row r="30" spans="1:9" ht="13.5" customHeight="1">
      <c r="A30" s="388" t="s">
        <v>345</v>
      </c>
      <c r="B30" s="309">
        <v>33137</v>
      </c>
      <c r="C30" s="279">
        <f t="shared" si="0"/>
        <v>0.0032711559993042487</v>
      </c>
      <c r="D30" s="309">
        <v>18527</v>
      </c>
      <c r="E30" s="279">
        <f t="shared" si="1"/>
        <v>0.001828913516585986</v>
      </c>
      <c r="F30" s="309">
        <f>SUM('- 43 -'!B30,'- 43 -'!D30,'- 43 -'!F30,'- 43 -'!H30,B30,D30)</f>
        <v>3674597</v>
      </c>
      <c r="G30" s="279">
        <f t="shared" si="2"/>
        <v>0.36274195073710336</v>
      </c>
      <c r="I30" s="309">
        <f>SUM('- 42 -'!F30,F30)</f>
        <v>10130058</v>
      </c>
    </row>
    <row r="31" spans="1:9" ht="13.5" customHeight="1">
      <c r="A31" s="387" t="s">
        <v>346</v>
      </c>
      <c r="B31" s="308">
        <v>116606</v>
      </c>
      <c r="C31" s="278">
        <f t="shared" si="0"/>
        <v>0.004829476080993187</v>
      </c>
      <c r="D31" s="308">
        <v>63111</v>
      </c>
      <c r="E31" s="278">
        <f t="shared" si="1"/>
        <v>0.002613871198287919</v>
      </c>
      <c r="F31" s="308">
        <f>SUM('- 43 -'!B31,'- 43 -'!D31,'- 43 -'!F31,'- 43 -'!H31,B31,D31)</f>
        <v>9182729</v>
      </c>
      <c r="G31" s="278">
        <f t="shared" si="2"/>
        <v>0.38032151058901337</v>
      </c>
      <c r="I31" s="308">
        <f>SUM('- 42 -'!F31,F31)</f>
        <v>24144648</v>
      </c>
    </row>
    <row r="32" spans="1:9" ht="13.5" customHeight="1">
      <c r="A32" s="388" t="s">
        <v>347</v>
      </c>
      <c r="B32" s="309">
        <v>11534</v>
      </c>
      <c r="C32" s="279">
        <f t="shared" si="0"/>
        <v>0.0006038263239693136</v>
      </c>
      <c r="D32" s="309">
        <v>130860</v>
      </c>
      <c r="E32" s="279">
        <f t="shared" si="1"/>
        <v>0.0068507640675068825</v>
      </c>
      <c r="F32" s="309">
        <f>SUM('- 43 -'!B32,'- 43 -'!D32,'- 43 -'!F32,'- 43 -'!H32,B32,D32)</f>
        <v>7671219</v>
      </c>
      <c r="G32" s="279">
        <f t="shared" si="2"/>
        <v>0.4016025636495192</v>
      </c>
      <c r="I32" s="309">
        <f>SUM('- 42 -'!F32,F32)</f>
        <v>19101519</v>
      </c>
    </row>
    <row r="33" spans="1:9" ht="13.5" customHeight="1">
      <c r="A33" s="387" t="s">
        <v>348</v>
      </c>
      <c r="B33" s="308">
        <v>166133</v>
      </c>
      <c r="C33" s="278">
        <f t="shared" si="0"/>
        <v>0.0076040296739004415</v>
      </c>
      <c r="D33" s="308">
        <v>48427</v>
      </c>
      <c r="E33" s="278">
        <f t="shared" si="1"/>
        <v>0.002216539429360673</v>
      </c>
      <c r="F33" s="308">
        <f>SUM('- 43 -'!B33,'- 43 -'!D33,'- 43 -'!F33,'- 43 -'!H33,B33,D33)</f>
        <v>8005750</v>
      </c>
      <c r="G33" s="278">
        <f t="shared" si="2"/>
        <v>0.36642906925071156</v>
      </c>
      <c r="I33" s="308">
        <f>SUM('- 42 -'!F33,F33)</f>
        <v>21848021</v>
      </c>
    </row>
    <row r="34" spans="1:9" ht="13.5" customHeight="1">
      <c r="A34" s="388" t="s">
        <v>349</v>
      </c>
      <c r="B34" s="309">
        <v>160353</v>
      </c>
      <c r="C34" s="279">
        <f t="shared" si="0"/>
        <v>0.008663915265414227</v>
      </c>
      <c r="D34" s="309">
        <v>97656</v>
      </c>
      <c r="E34" s="279">
        <f t="shared" si="1"/>
        <v>0.005276379669599519</v>
      </c>
      <c r="F34" s="309">
        <f>SUM('- 43 -'!B34,'- 43 -'!D34,'- 43 -'!F34,'- 43 -'!H34,B34,D34)</f>
        <v>7491432</v>
      </c>
      <c r="G34" s="279">
        <f t="shared" si="2"/>
        <v>0.4047640646861152</v>
      </c>
      <c r="I34" s="309">
        <f>SUM('- 42 -'!F34,F34)</f>
        <v>18508145</v>
      </c>
    </row>
    <row r="35" spans="1:9" ht="13.5" customHeight="1">
      <c r="A35" s="387" t="s">
        <v>350</v>
      </c>
      <c r="B35" s="308">
        <v>1708578</v>
      </c>
      <c r="C35" s="278">
        <f t="shared" si="0"/>
        <v>0.013705162181658898</v>
      </c>
      <c r="D35" s="308">
        <v>130680</v>
      </c>
      <c r="E35" s="278">
        <f t="shared" si="1"/>
        <v>0.0010482346102426608</v>
      </c>
      <c r="F35" s="308">
        <f>SUM('- 43 -'!B35,'- 43 -'!D35,'- 43 -'!F35,'- 43 -'!H35,B35,D35)</f>
        <v>49412535</v>
      </c>
      <c r="G35" s="278">
        <f t="shared" si="2"/>
        <v>0.39635697403448755</v>
      </c>
      <c r="I35" s="308">
        <f>SUM('- 42 -'!F35,F35)</f>
        <v>124666748</v>
      </c>
    </row>
    <row r="36" spans="1:9" ht="13.5" customHeight="1">
      <c r="A36" s="388" t="s">
        <v>351</v>
      </c>
      <c r="B36" s="309">
        <v>9864</v>
      </c>
      <c r="C36" s="279">
        <f t="shared" si="0"/>
        <v>0.0005999831026656609</v>
      </c>
      <c r="D36" s="309">
        <v>155461</v>
      </c>
      <c r="E36" s="279">
        <f t="shared" si="1"/>
        <v>0.009455998897354654</v>
      </c>
      <c r="F36" s="309">
        <f>SUM('- 43 -'!B36,'- 43 -'!D36,'- 43 -'!F36,'- 43 -'!H36,B36,D36)</f>
        <v>6974938</v>
      </c>
      <c r="G36" s="279">
        <f t="shared" si="2"/>
        <v>0.4242543534205819</v>
      </c>
      <c r="I36" s="309">
        <f>SUM('- 42 -'!F36,F36)</f>
        <v>16440463</v>
      </c>
    </row>
    <row r="37" spans="1:9" ht="13.5" customHeight="1">
      <c r="A37" s="387" t="s">
        <v>352</v>
      </c>
      <c r="B37" s="308">
        <v>37155</v>
      </c>
      <c r="C37" s="278">
        <f t="shared" si="0"/>
        <v>0.0014866389152733454</v>
      </c>
      <c r="D37" s="308">
        <v>85390</v>
      </c>
      <c r="E37" s="278">
        <f t="shared" si="1"/>
        <v>0.0034166087195583623</v>
      </c>
      <c r="F37" s="308">
        <f>SUM('- 43 -'!B37,'- 43 -'!D37,'- 43 -'!F37,'- 43 -'!H37,B37,D37)</f>
        <v>7878935</v>
      </c>
      <c r="G37" s="278">
        <f t="shared" si="2"/>
        <v>0.3152504745501062</v>
      </c>
      <c r="I37" s="308">
        <f>SUM('- 42 -'!F37,F37)</f>
        <v>24992619</v>
      </c>
    </row>
    <row r="38" spans="1:9" ht="13.5" customHeight="1">
      <c r="A38" s="388" t="s">
        <v>353</v>
      </c>
      <c r="B38" s="309">
        <v>574780</v>
      </c>
      <c r="C38" s="279">
        <f t="shared" si="0"/>
        <v>0.008771473212098138</v>
      </c>
      <c r="D38" s="309">
        <v>50938</v>
      </c>
      <c r="E38" s="279">
        <f t="shared" si="1"/>
        <v>0.0007773431616929172</v>
      </c>
      <c r="F38" s="309">
        <f>SUM('- 43 -'!B38,'- 43 -'!D38,'- 43 -'!F38,'- 43 -'!H38,B38,D38)</f>
        <v>26303902</v>
      </c>
      <c r="G38" s="279">
        <f t="shared" si="2"/>
        <v>0.4014126653096048</v>
      </c>
      <c r="I38" s="309">
        <f>SUM('- 42 -'!F38,F38)</f>
        <v>65528331</v>
      </c>
    </row>
    <row r="39" spans="1:9" ht="13.5" customHeight="1">
      <c r="A39" s="387" t="s">
        <v>354</v>
      </c>
      <c r="B39" s="308">
        <v>135208</v>
      </c>
      <c r="C39" s="278">
        <f t="shared" si="0"/>
        <v>0.009010777772046409</v>
      </c>
      <c r="D39" s="308">
        <v>63895</v>
      </c>
      <c r="E39" s="278">
        <f t="shared" si="1"/>
        <v>0.004258206953323068</v>
      </c>
      <c r="F39" s="308">
        <f>SUM('- 43 -'!B39,'- 43 -'!D39,'- 43 -'!F39,'- 43 -'!H39,B39,D39)</f>
        <v>6452828</v>
      </c>
      <c r="G39" s="278">
        <f t="shared" si="2"/>
        <v>0.4300411152390294</v>
      </c>
      <c r="I39" s="308">
        <f>SUM('- 42 -'!F39,F39)</f>
        <v>15005142</v>
      </c>
    </row>
    <row r="40" spans="1:9" ht="13.5" customHeight="1">
      <c r="A40" s="388" t="s">
        <v>355</v>
      </c>
      <c r="B40" s="309">
        <v>1199122</v>
      </c>
      <c r="C40" s="279">
        <f t="shared" si="0"/>
        <v>0.01849879287987722</v>
      </c>
      <c r="D40" s="309">
        <v>450631</v>
      </c>
      <c r="E40" s="279">
        <f t="shared" si="1"/>
        <v>0.006951861056883246</v>
      </c>
      <c r="F40" s="309">
        <f>SUM('- 43 -'!B40,'- 43 -'!D40,'- 43 -'!F40,'- 43 -'!H40,B40,D40)</f>
        <v>31777926</v>
      </c>
      <c r="G40" s="279">
        <f t="shared" si="2"/>
        <v>0.49023641566584986</v>
      </c>
      <c r="I40" s="309">
        <f>SUM('- 42 -'!F40,F40)</f>
        <v>64821635</v>
      </c>
    </row>
    <row r="41" spans="1:9" ht="13.5" customHeight="1">
      <c r="A41" s="387" t="s">
        <v>356</v>
      </c>
      <c r="B41" s="308">
        <v>237767</v>
      </c>
      <c r="C41" s="278">
        <f t="shared" si="0"/>
        <v>0.00611460572382356</v>
      </c>
      <c r="D41" s="308">
        <v>241194</v>
      </c>
      <c r="E41" s="278">
        <f t="shared" si="1"/>
        <v>0.006202737187885198</v>
      </c>
      <c r="F41" s="308">
        <f>SUM('- 43 -'!B41,'- 43 -'!D41,'- 43 -'!F41,'- 43 -'!H41,B41,D41)</f>
        <v>15762414</v>
      </c>
      <c r="G41" s="278">
        <f t="shared" si="2"/>
        <v>0.40535880448370304</v>
      </c>
      <c r="I41" s="308">
        <f>SUM('- 42 -'!F41,F41)</f>
        <v>38885091</v>
      </c>
    </row>
    <row r="42" spans="1:9" ht="13.5" customHeight="1">
      <c r="A42" s="388" t="s">
        <v>357</v>
      </c>
      <c r="B42" s="309">
        <v>245778</v>
      </c>
      <c r="C42" s="279">
        <f t="shared" si="0"/>
        <v>0.01615418757899944</v>
      </c>
      <c r="D42" s="309">
        <v>169923</v>
      </c>
      <c r="E42" s="279">
        <f t="shared" si="1"/>
        <v>0.011168485446160037</v>
      </c>
      <c r="F42" s="309">
        <f>SUM('- 43 -'!B42,'- 43 -'!D42,'- 43 -'!F42,'- 43 -'!H42,B42,D42)</f>
        <v>5555515</v>
      </c>
      <c r="G42" s="279">
        <f t="shared" si="2"/>
        <v>0.3651459097557351</v>
      </c>
      <c r="I42" s="309">
        <f>SUM('- 42 -'!F42,F42)</f>
        <v>15214507</v>
      </c>
    </row>
    <row r="43" spans="1:9" ht="13.5" customHeight="1">
      <c r="A43" s="387" t="s">
        <v>358</v>
      </c>
      <c r="B43" s="308">
        <v>24196</v>
      </c>
      <c r="C43" s="278">
        <f t="shared" si="0"/>
        <v>0.002558182907751899</v>
      </c>
      <c r="D43" s="308">
        <v>29191</v>
      </c>
      <c r="E43" s="278">
        <f t="shared" si="1"/>
        <v>0.003086291835848309</v>
      </c>
      <c r="F43" s="308">
        <f>SUM('- 43 -'!B43,'- 43 -'!D43,'- 43 -'!F43,'- 43 -'!H43,B43,D43)</f>
        <v>3796320</v>
      </c>
      <c r="G43" s="278">
        <f t="shared" si="2"/>
        <v>0.40137547265484746</v>
      </c>
      <c r="I43" s="308">
        <f>SUM('- 42 -'!F43,F43)</f>
        <v>9458276</v>
      </c>
    </row>
    <row r="44" spans="1:9" ht="13.5" customHeight="1">
      <c r="A44" s="388" t="s">
        <v>359</v>
      </c>
      <c r="B44" s="309">
        <v>33884</v>
      </c>
      <c r="C44" s="279">
        <f t="shared" si="0"/>
        <v>0.004832485299954519</v>
      </c>
      <c r="D44" s="309">
        <v>15259</v>
      </c>
      <c r="E44" s="279">
        <f t="shared" si="1"/>
        <v>0.0021762157121947233</v>
      </c>
      <c r="F44" s="309">
        <f>SUM('- 43 -'!B44,'- 43 -'!D44,'- 43 -'!F44,'- 43 -'!H44,B44,D44)</f>
        <v>2218067</v>
      </c>
      <c r="G44" s="279">
        <f t="shared" si="2"/>
        <v>0.31633739144771045</v>
      </c>
      <c r="I44" s="309">
        <f>SUM('- 42 -'!F44,F44)</f>
        <v>7011713</v>
      </c>
    </row>
    <row r="45" spans="1:9" ht="13.5" customHeight="1">
      <c r="A45" s="387" t="s">
        <v>360</v>
      </c>
      <c r="B45" s="308">
        <v>184238</v>
      </c>
      <c r="C45" s="278">
        <f t="shared" si="0"/>
        <v>0.017950389005637616</v>
      </c>
      <c r="D45" s="308">
        <v>23251</v>
      </c>
      <c r="E45" s="278">
        <f t="shared" si="1"/>
        <v>0.002265355110075447</v>
      </c>
      <c r="F45" s="308">
        <f>SUM('- 43 -'!B45,'- 43 -'!D45,'- 43 -'!F45,'- 43 -'!H45,B45,D45)</f>
        <v>4011764</v>
      </c>
      <c r="G45" s="278">
        <f t="shared" si="2"/>
        <v>0.39086792300618106</v>
      </c>
      <c r="I45" s="308">
        <f>SUM('- 42 -'!F45,F45)</f>
        <v>10263733</v>
      </c>
    </row>
    <row r="46" spans="1:9" ht="13.5" customHeight="1">
      <c r="A46" s="388" t="s">
        <v>361</v>
      </c>
      <c r="B46" s="309">
        <v>1097679</v>
      </c>
      <c r="C46" s="279">
        <f t="shared" si="0"/>
        <v>0.004237828897834395</v>
      </c>
      <c r="D46" s="309">
        <v>1098097</v>
      </c>
      <c r="E46" s="279">
        <f t="shared" si="1"/>
        <v>0.0042394426778914925</v>
      </c>
      <c r="F46" s="309">
        <f>SUM('- 43 -'!B46,'- 43 -'!D46,'- 43 -'!F46,'- 43 -'!H46,B46,D46)</f>
        <v>121259973</v>
      </c>
      <c r="G46" s="279">
        <f t="shared" si="2"/>
        <v>0.46815054103250453</v>
      </c>
      <c r="I46" s="309">
        <f>SUM('- 42 -'!F46,F46)</f>
        <v>259019188</v>
      </c>
    </row>
    <row r="47" spans="1:9" ht="13.5" customHeight="1">
      <c r="A47" s="387" t="s">
        <v>365</v>
      </c>
      <c r="B47" s="308">
        <v>1610139</v>
      </c>
      <c r="C47" s="278">
        <f t="shared" si="0"/>
        <v>0.16939996033647714</v>
      </c>
      <c r="D47" s="308">
        <v>90599</v>
      </c>
      <c r="E47" s="278">
        <f t="shared" si="1"/>
        <v>0.009531765274007084</v>
      </c>
      <c r="F47" s="308">
        <f>SUM('- 43 -'!B47,'- 43 -'!D47,'- 43 -'!F47,'- 43 -'!H47,B47,D47)</f>
        <v>4882143</v>
      </c>
      <c r="G47" s="278">
        <f t="shared" si="2"/>
        <v>0.5136418846801484</v>
      </c>
      <c r="I47" s="308">
        <f>SUM('- 42 -'!F47,F47)</f>
        <v>9504955</v>
      </c>
    </row>
    <row r="48" spans="1:9" ht="4.5" customHeight="1">
      <c r="A48" s="389"/>
      <c r="B48" s="310"/>
      <c r="C48" s="162"/>
      <c r="D48" s="310"/>
      <c r="E48" s="162"/>
      <c r="F48" s="310"/>
      <c r="G48" s="162"/>
      <c r="I48" s="310"/>
    </row>
    <row r="49" spans="1:9" ht="13.5" customHeight="1">
      <c r="A49" s="383" t="s">
        <v>362</v>
      </c>
      <c r="B49" s="311">
        <f>SUM(B11:B47)</f>
        <v>16826662.060000002</v>
      </c>
      <c r="C49" s="81">
        <f>B49/$I49</f>
        <v>0.012043527854809324</v>
      </c>
      <c r="D49" s="311">
        <f>SUM(D11:D47)</f>
        <v>5316396.72</v>
      </c>
      <c r="E49" s="81">
        <f>D49/$I49</f>
        <v>0.0038051618173721683</v>
      </c>
      <c r="F49" s="311">
        <f>SUM(F11:F47)</f>
        <v>592878888.0699999</v>
      </c>
      <c r="G49" s="81">
        <f>F49/$I49</f>
        <v>0.42434758465693123</v>
      </c>
      <c r="I49" s="311">
        <f>SUM(I11:I47)</f>
        <v>1397153912.28</v>
      </c>
    </row>
    <row r="50" spans="1:9" ht="4.5" customHeight="1">
      <c r="A50" s="389" t="s">
        <v>15</v>
      </c>
      <c r="B50" s="310"/>
      <c r="C50" s="162"/>
      <c r="D50" s="310"/>
      <c r="E50" s="162"/>
      <c r="F50" s="310"/>
      <c r="G50" s="162"/>
      <c r="I50" s="310"/>
    </row>
    <row r="51" spans="1:9" ht="13.5" customHeight="1">
      <c r="A51" s="388" t="s">
        <v>363</v>
      </c>
      <c r="B51" s="309">
        <v>770723</v>
      </c>
      <c r="C51" s="279">
        <f>B51/I51</f>
        <v>0.5702423328112248</v>
      </c>
      <c r="D51" s="309">
        <v>39736</v>
      </c>
      <c r="E51" s="279">
        <f>D51/I51</f>
        <v>0.029399861346536733</v>
      </c>
      <c r="F51" s="309">
        <f>SUM('- 43 -'!B51,'- 43 -'!D51,'- 43 -'!F51,'- 43 -'!H51,B51,D51)</f>
        <v>1153211</v>
      </c>
      <c r="G51" s="279">
        <f>F51/I51</f>
        <v>0.8532374547840994</v>
      </c>
      <c r="I51" s="309">
        <f>SUM('- 42 -'!F51,F51)</f>
        <v>1351571</v>
      </c>
    </row>
    <row r="52" spans="1:9" ht="13.5" customHeight="1">
      <c r="A52" s="387" t="s">
        <v>364</v>
      </c>
      <c r="B52" s="308">
        <v>6417</v>
      </c>
      <c r="C52" s="278">
        <f>B52/I52</f>
        <v>0.002658938604084166</v>
      </c>
      <c r="D52" s="308">
        <v>8698</v>
      </c>
      <c r="E52" s="278">
        <f>D52/I52</f>
        <v>0.003604090381537179</v>
      </c>
      <c r="F52" s="308">
        <f>SUM('- 43 -'!B52,'- 43 -'!D52,'- 43 -'!F52,'- 43 -'!H52,B52,D52)</f>
        <v>1926121</v>
      </c>
      <c r="G52" s="278">
        <f>F52/I52</f>
        <v>0.7981046412711856</v>
      </c>
      <c r="I52" s="308">
        <f>SUM('- 42 -'!F52,F52)</f>
        <v>2413369</v>
      </c>
    </row>
    <row r="53" ht="49.5" customHeight="1"/>
    <row r="54" spans="1:9" ht="12" customHeight="1">
      <c r="A54" s="3"/>
      <c r="B54" s="9"/>
      <c r="C54" s="9"/>
      <c r="D54" s="9"/>
      <c r="E54" s="9"/>
      <c r="F54" s="9"/>
      <c r="G54" s="9"/>
      <c r="H54" s="9"/>
      <c r="I54" s="153"/>
    </row>
    <row r="55" spans="1:9" ht="12" customHeight="1">
      <c r="A55" s="3"/>
      <c r="B55" s="9"/>
      <c r="C55" s="9"/>
      <c r="D55" s="9"/>
      <c r="E55" s="9"/>
      <c r="F55" s="9"/>
      <c r="G55" s="9"/>
      <c r="H55" s="9"/>
      <c r="I55" s="9"/>
    </row>
    <row r="56" spans="1:9" ht="12" customHeight="1">
      <c r="A56" s="3"/>
      <c r="B56" s="9"/>
      <c r="C56" s="9"/>
      <c r="D56" s="9"/>
      <c r="E56" s="9"/>
      <c r="F56" s="9"/>
      <c r="G56" s="9"/>
      <c r="H56" s="9"/>
      <c r="I56" s="9"/>
    </row>
    <row r="57" spans="1:9" ht="12" customHeight="1">
      <c r="A57" s="3"/>
      <c r="B57" s="9"/>
      <c r="C57" s="9"/>
      <c r="D57" s="9"/>
      <c r="E57" s="9"/>
      <c r="F57" s="9"/>
      <c r="G57" s="9"/>
      <c r="H57" s="9"/>
      <c r="I57" s="9"/>
    </row>
    <row r="58" spans="1:9" ht="12" customHeight="1">
      <c r="A58" s="3"/>
      <c r="B58" s="9"/>
      <c r="C58" s="9"/>
      <c r="D58" s="9"/>
      <c r="E58" s="9"/>
      <c r="F58" s="9"/>
      <c r="G58" s="9"/>
      <c r="H58" s="9"/>
      <c r="I58" s="9"/>
    </row>
    <row r="59"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5"/>
  <sheetViews>
    <sheetView showGridLines="0" showZeros="0" workbookViewId="0" topLeftCell="A1">
      <selection activeCell="A1" sqref="A1"/>
    </sheetView>
  </sheetViews>
  <sheetFormatPr defaultColWidth="12.83203125" defaultRowHeight="12"/>
  <cols>
    <col min="1" max="1" width="30.83203125" style="9" customWidth="1"/>
    <col min="2" max="8" width="14.83203125" style="9" customWidth="1"/>
    <col min="9" max="16384" width="12.83203125" style="9" customWidth="1"/>
  </cols>
  <sheetData>
    <row r="1" spans="1:8" ht="6.75" customHeight="1">
      <c r="A1" s="12"/>
      <c r="B1" s="13"/>
      <c r="C1" s="13"/>
      <c r="D1" s="13"/>
      <c r="E1" s="13"/>
      <c r="F1" s="13"/>
      <c r="G1" s="13"/>
      <c r="H1" s="13"/>
    </row>
    <row r="2" spans="1:8" ht="15.75" customHeight="1">
      <c r="A2" s="14"/>
      <c r="B2" s="471" t="s">
        <v>213</v>
      </c>
      <c r="C2" s="15"/>
      <c r="D2" s="15"/>
      <c r="E2" s="15"/>
      <c r="F2" s="15"/>
      <c r="G2" s="15"/>
      <c r="H2" s="17" t="s">
        <v>214</v>
      </c>
    </row>
    <row r="3" spans="1:8" ht="15.75" customHeight="1">
      <c r="A3" s="18"/>
      <c r="B3" s="473" t="s">
        <v>561</v>
      </c>
      <c r="C3" s="19"/>
      <c r="D3" s="230"/>
      <c r="E3" s="19"/>
      <c r="F3" s="230"/>
      <c r="G3" s="19"/>
      <c r="H3" s="20"/>
    </row>
    <row r="4" spans="2:8" ht="15.75" customHeight="1">
      <c r="B4" s="13"/>
      <c r="C4" s="13"/>
      <c r="D4" s="13"/>
      <c r="E4" s="13"/>
      <c r="F4" s="13"/>
      <c r="G4" s="231"/>
      <c r="H4" s="13"/>
    </row>
    <row r="5" spans="2:8" ht="15.75" customHeight="1">
      <c r="B5" s="13"/>
      <c r="C5" s="13"/>
      <c r="D5" s="13"/>
      <c r="E5" s="13"/>
      <c r="F5" s="13"/>
      <c r="G5" s="13"/>
      <c r="H5" s="13"/>
    </row>
    <row r="6" spans="2:8" ht="15.75" customHeight="1">
      <c r="B6" s="375" t="s">
        <v>74</v>
      </c>
      <c r="C6" s="233"/>
      <c r="D6" s="233"/>
      <c r="E6" s="233"/>
      <c r="F6" s="233"/>
      <c r="G6" s="233"/>
      <c r="H6" s="234"/>
    </row>
    <row r="7" spans="2:8" ht="15.75" customHeight="1">
      <c r="B7" s="235" t="s">
        <v>267</v>
      </c>
      <c r="C7" s="236"/>
      <c r="D7" s="236"/>
      <c r="E7" s="237" t="s">
        <v>268</v>
      </c>
      <c r="F7" s="236"/>
      <c r="G7" s="236"/>
      <c r="H7" s="41"/>
    </row>
    <row r="8" spans="1:8" ht="15.75" customHeight="1">
      <c r="A8" s="437"/>
      <c r="B8" s="435" t="s">
        <v>97</v>
      </c>
      <c r="C8" s="377" t="s">
        <v>15</v>
      </c>
      <c r="D8" s="376" t="s">
        <v>98</v>
      </c>
      <c r="E8" s="378" t="s">
        <v>97</v>
      </c>
      <c r="F8" s="377" t="s">
        <v>15</v>
      </c>
      <c r="G8" s="376" t="s">
        <v>98</v>
      </c>
      <c r="H8" s="379" t="s">
        <v>69</v>
      </c>
    </row>
    <row r="9" spans="1:8" ht="15.75" customHeight="1">
      <c r="A9" s="438" t="s">
        <v>112</v>
      </c>
      <c r="B9" s="436" t="s">
        <v>116</v>
      </c>
      <c r="C9" s="380" t="s">
        <v>52</v>
      </c>
      <c r="D9" s="380" t="s">
        <v>117</v>
      </c>
      <c r="E9" s="381" t="s">
        <v>116</v>
      </c>
      <c r="F9" s="380" t="s">
        <v>52</v>
      </c>
      <c r="G9" s="380" t="s">
        <v>117</v>
      </c>
      <c r="H9" s="382" t="s">
        <v>118</v>
      </c>
    </row>
    <row r="10" spans="1:8" ht="4.5" customHeight="1">
      <c r="A10" s="62"/>
      <c r="B10" s="83"/>
      <c r="C10" s="83"/>
      <c r="D10" s="83"/>
      <c r="E10" s="83"/>
      <c r="F10" s="83"/>
      <c r="G10" s="83"/>
      <c r="H10" s="83"/>
    </row>
    <row r="11" spans="1:8" ht="13.5" customHeight="1">
      <c r="A11" s="387" t="s">
        <v>327</v>
      </c>
      <c r="B11" s="364">
        <v>1584.5</v>
      </c>
      <c r="C11" s="364">
        <v>0</v>
      </c>
      <c r="D11" s="370">
        <v>0</v>
      </c>
      <c r="E11" s="368">
        <v>0</v>
      </c>
      <c r="F11" s="364">
        <v>0</v>
      </c>
      <c r="G11" s="364">
        <v>0</v>
      </c>
      <c r="H11" s="364">
        <v>0</v>
      </c>
    </row>
    <row r="12" spans="1:8" ht="13.5" customHeight="1">
      <c r="A12" s="388" t="s">
        <v>328</v>
      </c>
      <c r="B12" s="365">
        <v>2242.6</v>
      </c>
      <c r="C12" s="365">
        <v>0</v>
      </c>
      <c r="D12" s="371">
        <v>36</v>
      </c>
      <c r="E12" s="369">
        <v>0</v>
      </c>
      <c r="F12" s="365">
        <v>0</v>
      </c>
      <c r="G12" s="365">
        <v>0</v>
      </c>
      <c r="H12" s="365">
        <v>0</v>
      </c>
    </row>
    <row r="13" spans="1:8" ht="13.5" customHeight="1">
      <c r="A13" s="387" t="s">
        <v>329</v>
      </c>
      <c r="B13" s="364">
        <v>5690.4</v>
      </c>
      <c r="C13" s="364">
        <v>0</v>
      </c>
      <c r="D13" s="370">
        <v>0</v>
      </c>
      <c r="E13" s="368">
        <v>609.4</v>
      </c>
      <c r="F13" s="364">
        <v>0</v>
      </c>
      <c r="G13" s="364">
        <v>474.6</v>
      </c>
      <c r="H13" s="364">
        <v>0</v>
      </c>
    </row>
    <row r="14" spans="1:8" ht="13.5" customHeight="1">
      <c r="A14" s="388" t="s">
        <v>366</v>
      </c>
      <c r="B14" s="365">
        <v>0</v>
      </c>
      <c r="C14" s="365">
        <v>4220.7</v>
      </c>
      <c r="D14" s="371">
        <v>0</v>
      </c>
      <c r="E14" s="369">
        <v>0</v>
      </c>
      <c r="F14" s="365">
        <v>0</v>
      </c>
      <c r="G14" s="365">
        <v>0</v>
      </c>
      <c r="H14" s="365">
        <v>0</v>
      </c>
    </row>
    <row r="15" spans="1:8" ht="13.5" customHeight="1">
      <c r="A15" s="387" t="s">
        <v>330</v>
      </c>
      <c r="B15" s="364">
        <v>1673</v>
      </c>
      <c r="C15" s="364">
        <v>0</v>
      </c>
      <c r="D15" s="370">
        <v>0</v>
      </c>
      <c r="E15" s="368">
        <v>0</v>
      </c>
      <c r="F15" s="364">
        <v>0</v>
      </c>
      <c r="G15" s="364">
        <v>0</v>
      </c>
      <c r="H15" s="364">
        <v>0</v>
      </c>
    </row>
    <row r="16" spans="1:8" ht="13.5" customHeight="1">
      <c r="A16" s="388" t="s">
        <v>331</v>
      </c>
      <c r="B16" s="365">
        <v>954.12</v>
      </c>
      <c r="C16" s="365">
        <v>0</v>
      </c>
      <c r="D16" s="371">
        <v>0</v>
      </c>
      <c r="E16" s="369">
        <v>326.5</v>
      </c>
      <c r="F16" s="365">
        <v>0</v>
      </c>
      <c r="G16" s="365">
        <v>99.5</v>
      </c>
      <c r="H16" s="365">
        <v>0</v>
      </c>
    </row>
    <row r="17" spans="1:8" ht="13.5" customHeight="1">
      <c r="A17" s="387" t="s">
        <v>332</v>
      </c>
      <c r="B17" s="364">
        <v>1539.18</v>
      </c>
      <c r="C17" s="364">
        <v>0</v>
      </c>
      <c r="D17" s="370">
        <v>0</v>
      </c>
      <c r="E17" s="368">
        <v>0</v>
      </c>
      <c r="F17" s="364">
        <v>0</v>
      </c>
      <c r="G17" s="364">
        <v>0</v>
      </c>
      <c r="H17" s="364">
        <v>0</v>
      </c>
    </row>
    <row r="18" spans="1:8" ht="13.5" customHeight="1">
      <c r="A18" s="388" t="s">
        <v>333</v>
      </c>
      <c r="B18" s="365">
        <v>5903</v>
      </c>
      <c r="C18" s="365">
        <v>0</v>
      </c>
      <c r="D18" s="371">
        <v>0</v>
      </c>
      <c r="E18" s="369">
        <v>0</v>
      </c>
      <c r="F18" s="365">
        <v>0</v>
      </c>
      <c r="G18" s="365">
        <v>0</v>
      </c>
      <c r="H18" s="365">
        <v>0</v>
      </c>
    </row>
    <row r="19" spans="1:8" ht="13.5" customHeight="1">
      <c r="A19" s="387" t="s">
        <v>334</v>
      </c>
      <c r="B19" s="364">
        <v>2772.6</v>
      </c>
      <c r="C19" s="364">
        <v>0</v>
      </c>
      <c r="D19" s="370">
        <v>0</v>
      </c>
      <c r="E19" s="368">
        <v>0</v>
      </c>
      <c r="F19" s="364">
        <v>0</v>
      </c>
      <c r="G19" s="364">
        <v>0</v>
      </c>
      <c r="H19" s="364">
        <v>0</v>
      </c>
    </row>
    <row r="20" spans="1:8" ht="13.5" customHeight="1">
      <c r="A20" s="388" t="s">
        <v>335</v>
      </c>
      <c r="B20" s="365">
        <v>5827.1</v>
      </c>
      <c r="C20" s="365">
        <v>0</v>
      </c>
      <c r="D20" s="371">
        <v>0</v>
      </c>
      <c r="E20" s="369">
        <v>0</v>
      </c>
      <c r="F20" s="365">
        <v>0</v>
      </c>
      <c r="G20" s="365">
        <v>0</v>
      </c>
      <c r="H20" s="365">
        <v>0</v>
      </c>
    </row>
    <row r="21" spans="1:8" ht="13.5" customHeight="1">
      <c r="A21" s="387" t="s">
        <v>336</v>
      </c>
      <c r="B21" s="364">
        <v>3289.4</v>
      </c>
      <c r="C21" s="364">
        <v>0</v>
      </c>
      <c r="D21" s="370">
        <v>0</v>
      </c>
      <c r="E21" s="368">
        <v>0</v>
      </c>
      <c r="F21" s="364">
        <v>0</v>
      </c>
      <c r="G21" s="364">
        <v>0</v>
      </c>
      <c r="H21" s="364">
        <v>0</v>
      </c>
    </row>
    <row r="22" spans="1:8" ht="13.5" customHeight="1">
      <c r="A22" s="388" t="s">
        <v>337</v>
      </c>
      <c r="B22" s="365">
        <v>1116</v>
      </c>
      <c r="C22" s="365">
        <v>0</v>
      </c>
      <c r="D22" s="371">
        <v>0</v>
      </c>
      <c r="E22" s="369">
        <v>371.5</v>
      </c>
      <c r="F22" s="365">
        <v>0</v>
      </c>
      <c r="G22" s="365">
        <v>160.5</v>
      </c>
      <c r="H22" s="365">
        <v>0</v>
      </c>
    </row>
    <row r="23" spans="1:8" ht="13.5" customHeight="1">
      <c r="A23" s="387" t="s">
        <v>338</v>
      </c>
      <c r="B23" s="364">
        <v>1332.1</v>
      </c>
      <c r="C23" s="364">
        <v>0</v>
      </c>
      <c r="D23" s="370">
        <v>0</v>
      </c>
      <c r="E23" s="368">
        <v>0</v>
      </c>
      <c r="F23" s="364">
        <v>0</v>
      </c>
      <c r="G23" s="364">
        <v>0</v>
      </c>
      <c r="H23" s="364">
        <v>0</v>
      </c>
    </row>
    <row r="24" spans="1:8" ht="13.5" customHeight="1">
      <c r="A24" s="388" t="s">
        <v>339</v>
      </c>
      <c r="B24" s="365">
        <v>3037.2</v>
      </c>
      <c r="C24" s="365">
        <v>0</v>
      </c>
      <c r="D24" s="371">
        <v>182</v>
      </c>
      <c r="E24" s="369">
        <v>947</v>
      </c>
      <c r="F24" s="365">
        <v>0</v>
      </c>
      <c r="G24" s="365">
        <v>60</v>
      </c>
      <c r="H24" s="365">
        <v>107.5</v>
      </c>
    </row>
    <row r="25" spans="1:8" ht="13.5" customHeight="1">
      <c r="A25" s="387" t="s">
        <v>340</v>
      </c>
      <c r="B25" s="364">
        <v>10829.2</v>
      </c>
      <c r="C25" s="364">
        <v>375</v>
      </c>
      <c r="D25" s="370">
        <v>3317.5</v>
      </c>
      <c r="E25" s="368">
        <v>0</v>
      </c>
      <c r="F25" s="364">
        <v>0</v>
      </c>
      <c r="G25" s="364">
        <v>0</v>
      </c>
      <c r="H25" s="364">
        <v>0</v>
      </c>
    </row>
    <row r="26" spans="1:8" ht="13.5" customHeight="1">
      <c r="A26" s="388" t="s">
        <v>341</v>
      </c>
      <c r="B26" s="365">
        <v>2713</v>
      </c>
      <c r="C26" s="365">
        <v>0</v>
      </c>
      <c r="D26" s="371">
        <v>107</v>
      </c>
      <c r="E26" s="369">
        <v>218</v>
      </c>
      <c r="F26" s="365">
        <v>0</v>
      </c>
      <c r="G26" s="365">
        <v>39</v>
      </c>
      <c r="H26" s="365">
        <v>97</v>
      </c>
    </row>
    <row r="27" spans="1:8" ht="13.5" customHeight="1">
      <c r="A27" s="387" t="s">
        <v>342</v>
      </c>
      <c r="B27" s="364">
        <v>2662.1</v>
      </c>
      <c r="C27" s="364">
        <v>0</v>
      </c>
      <c r="D27" s="370">
        <v>0</v>
      </c>
      <c r="E27" s="368">
        <v>211</v>
      </c>
      <c r="F27" s="364">
        <v>0</v>
      </c>
      <c r="G27" s="364">
        <v>0</v>
      </c>
      <c r="H27" s="364">
        <v>234</v>
      </c>
    </row>
    <row r="28" spans="1:8" ht="13.5" customHeight="1">
      <c r="A28" s="388" t="s">
        <v>343</v>
      </c>
      <c r="B28" s="365">
        <v>2096.1</v>
      </c>
      <c r="C28" s="365">
        <v>0</v>
      </c>
      <c r="D28" s="371">
        <v>0</v>
      </c>
      <c r="E28" s="369">
        <v>0</v>
      </c>
      <c r="F28" s="365">
        <v>0</v>
      </c>
      <c r="G28" s="365">
        <v>0</v>
      </c>
      <c r="H28" s="365">
        <v>0</v>
      </c>
    </row>
    <row r="29" spans="1:8" ht="13.5" customHeight="1">
      <c r="A29" s="387" t="s">
        <v>344</v>
      </c>
      <c r="B29" s="364">
        <v>8776.9</v>
      </c>
      <c r="C29" s="364">
        <v>0</v>
      </c>
      <c r="D29" s="370">
        <v>1228</v>
      </c>
      <c r="E29" s="368">
        <v>2005.3</v>
      </c>
      <c r="F29" s="364">
        <v>0</v>
      </c>
      <c r="G29" s="364">
        <v>1022.5</v>
      </c>
      <c r="H29" s="364">
        <v>0</v>
      </c>
    </row>
    <row r="30" spans="1:8" ht="13.5" customHeight="1">
      <c r="A30" s="388" t="s">
        <v>345</v>
      </c>
      <c r="B30" s="365">
        <v>1282.6</v>
      </c>
      <c r="C30" s="365">
        <v>0</v>
      </c>
      <c r="D30" s="371">
        <v>0</v>
      </c>
      <c r="E30" s="369">
        <v>0</v>
      </c>
      <c r="F30" s="365">
        <v>0</v>
      </c>
      <c r="G30" s="365">
        <v>0</v>
      </c>
      <c r="H30" s="365">
        <v>0</v>
      </c>
    </row>
    <row r="31" spans="1:8" ht="13.5" customHeight="1">
      <c r="A31" s="387" t="s">
        <v>346</v>
      </c>
      <c r="B31" s="364">
        <v>2764.3</v>
      </c>
      <c r="C31" s="364">
        <v>0</v>
      </c>
      <c r="D31" s="370">
        <v>0</v>
      </c>
      <c r="E31" s="368">
        <v>245</v>
      </c>
      <c r="F31" s="364">
        <v>0</v>
      </c>
      <c r="G31" s="364">
        <v>198.5</v>
      </c>
      <c r="H31" s="364">
        <v>0</v>
      </c>
    </row>
    <row r="32" spans="1:8" ht="13.5" customHeight="1">
      <c r="A32" s="388" t="s">
        <v>347</v>
      </c>
      <c r="B32" s="365">
        <v>1830</v>
      </c>
      <c r="C32" s="365">
        <v>0</v>
      </c>
      <c r="D32" s="371">
        <v>106</v>
      </c>
      <c r="E32" s="369">
        <v>308</v>
      </c>
      <c r="F32" s="365">
        <v>0</v>
      </c>
      <c r="G32" s="365">
        <v>106</v>
      </c>
      <c r="H32" s="365">
        <v>0</v>
      </c>
    </row>
    <row r="33" spans="1:8" ht="13.5" customHeight="1">
      <c r="A33" s="387" t="s">
        <v>348</v>
      </c>
      <c r="B33" s="364">
        <v>2041.5</v>
      </c>
      <c r="C33" s="364">
        <v>0</v>
      </c>
      <c r="D33" s="370">
        <v>63.5</v>
      </c>
      <c r="E33" s="368">
        <v>171.1</v>
      </c>
      <c r="F33" s="364">
        <v>157</v>
      </c>
      <c r="G33" s="364">
        <v>60</v>
      </c>
      <c r="H33" s="364">
        <v>0</v>
      </c>
    </row>
    <row r="34" spans="1:8" ht="13.5" customHeight="1">
      <c r="A34" s="388" t="s">
        <v>349</v>
      </c>
      <c r="B34" s="365">
        <v>1814.5</v>
      </c>
      <c r="C34" s="365">
        <v>144</v>
      </c>
      <c r="D34" s="371">
        <v>221.6</v>
      </c>
      <c r="E34" s="369">
        <v>0</v>
      </c>
      <c r="F34" s="365">
        <v>0</v>
      </c>
      <c r="G34" s="365">
        <v>0</v>
      </c>
      <c r="H34" s="365">
        <v>0</v>
      </c>
    </row>
    <row r="35" spans="1:8" ht="13.5" customHeight="1">
      <c r="A35" s="387" t="s">
        <v>350</v>
      </c>
      <c r="B35" s="364">
        <v>11385.9</v>
      </c>
      <c r="C35" s="364">
        <v>0</v>
      </c>
      <c r="D35" s="370">
        <v>1063.5</v>
      </c>
      <c r="E35" s="368">
        <v>2990</v>
      </c>
      <c r="F35" s="364">
        <v>0</v>
      </c>
      <c r="G35" s="364">
        <v>1169</v>
      </c>
      <c r="H35" s="364">
        <v>646</v>
      </c>
    </row>
    <row r="36" spans="1:8" ht="13.5" customHeight="1">
      <c r="A36" s="388" t="s">
        <v>351</v>
      </c>
      <c r="B36" s="365">
        <v>2103.9</v>
      </c>
      <c r="C36" s="365">
        <v>0</v>
      </c>
      <c r="D36" s="371">
        <v>0</v>
      </c>
      <c r="E36" s="369">
        <v>0</v>
      </c>
      <c r="F36" s="365">
        <v>0</v>
      </c>
      <c r="G36" s="365">
        <v>0</v>
      </c>
      <c r="H36" s="365">
        <v>0</v>
      </c>
    </row>
    <row r="37" spans="1:8" ht="13.5" customHeight="1">
      <c r="A37" s="387" t="s">
        <v>352</v>
      </c>
      <c r="B37" s="364">
        <v>1556</v>
      </c>
      <c r="C37" s="364">
        <v>0</v>
      </c>
      <c r="D37" s="370">
        <v>600</v>
      </c>
      <c r="E37" s="368">
        <v>804.1</v>
      </c>
      <c r="F37" s="364">
        <v>0</v>
      </c>
      <c r="G37" s="364">
        <v>420</v>
      </c>
      <c r="H37" s="364">
        <v>0</v>
      </c>
    </row>
    <row r="38" spans="1:8" ht="13.5" customHeight="1">
      <c r="A38" s="388" t="s">
        <v>353</v>
      </c>
      <c r="B38" s="365">
        <v>4533</v>
      </c>
      <c r="C38" s="365">
        <v>0</v>
      </c>
      <c r="D38" s="371">
        <v>197.5</v>
      </c>
      <c r="E38" s="369">
        <v>2760.5</v>
      </c>
      <c r="F38" s="365">
        <v>0</v>
      </c>
      <c r="G38" s="365">
        <v>698</v>
      </c>
      <c r="H38" s="365">
        <v>190.5</v>
      </c>
    </row>
    <row r="39" spans="1:8" ht="13.5" customHeight="1">
      <c r="A39" s="387" t="s">
        <v>354</v>
      </c>
      <c r="B39" s="364">
        <v>1809</v>
      </c>
      <c r="C39" s="364">
        <v>0</v>
      </c>
      <c r="D39" s="370">
        <v>0</v>
      </c>
      <c r="E39" s="368">
        <v>0</v>
      </c>
      <c r="F39" s="364">
        <v>0</v>
      </c>
      <c r="G39" s="364">
        <v>0</v>
      </c>
      <c r="H39" s="364">
        <v>0</v>
      </c>
    </row>
    <row r="40" spans="1:8" ht="13.5" customHeight="1">
      <c r="A40" s="388" t="s">
        <v>355</v>
      </c>
      <c r="B40" s="365">
        <v>6136.5</v>
      </c>
      <c r="C40" s="365">
        <v>0</v>
      </c>
      <c r="D40" s="371">
        <v>730</v>
      </c>
      <c r="E40" s="369">
        <v>880.55</v>
      </c>
      <c r="F40" s="365">
        <v>0</v>
      </c>
      <c r="G40" s="365">
        <v>514</v>
      </c>
      <c r="H40" s="365">
        <v>0</v>
      </c>
    </row>
    <row r="41" spans="1:8" ht="13.5" customHeight="1">
      <c r="A41" s="387" t="s">
        <v>356</v>
      </c>
      <c r="B41" s="364">
        <v>3138.3</v>
      </c>
      <c r="C41" s="364">
        <v>0</v>
      </c>
      <c r="D41" s="370">
        <v>0</v>
      </c>
      <c r="E41" s="368">
        <v>1241.5</v>
      </c>
      <c r="F41" s="364">
        <v>0</v>
      </c>
      <c r="G41" s="364">
        <v>449</v>
      </c>
      <c r="H41" s="364">
        <v>70</v>
      </c>
    </row>
    <row r="42" spans="1:8" ht="13.5" customHeight="1">
      <c r="A42" s="388" t="s">
        <v>357</v>
      </c>
      <c r="B42" s="365">
        <v>1438.8</v>
      </c>
      <c r="C42" s="365">
        <v>0</v>
      </c>
      <c r="D42" s="371">
        <v>0</v>
      </c>
      <c r="E42" s="369">
        <v>205</v>
      </c>
      <c r="F42" s="365">
        <v>0</v>
      </c>
      <c r="G42" s="365">
        <v>99.5</v>
      </c>
      <c r="H42" s="365">
        <v>0</v>
      </c>
    </row>
    <row r="43" spans="1:8" ht="13.5" customHeight="1">
      <c r="A43" s="387" t="s">
        <v>358</v>
      </c>
      <c r="B43" s="364">
        <v>1219</v>
      </c>
      <c r="C43" s="364">
        <v>0</v>
      </c>
      <c r="D43" s="370">
        <v>0</v>
      </c>
      <c r="E43" s="368">
        <v>0</v>
      </c>
      <c r="F43" s="364">
        <v>0</v>
      </c>
      <c r="G43" s="364">
        <v>0</v>
      </c>
      <c r="H43" s="364">
        <v>0</v>
      </c>
    </row>
    <row r="44" spans="1:8" ht="13.5" customHeight="1">
      <c r="A44" s="388" t="s">
        <v>359</v>
      </c>
      <c r="B44" s="365">
        <v>771.5</v>
      </c>
      <c r="C44" s="365">
        <v>47</v>
      </c>
      <c r="D44" s="371">
        <v>0</v>
      </c>
      <c r="E44" s="369">
        <v>0</v>
      </c>
      <c r="F44" s="365">
        <v>0</v>
      </c>
      <c r="G44" s="365">
        <v>0</v>
      </c>
      <c r="H44" s="365">
        <v>0</v>
      </c>
    </row>
    <row r="45" spans="1:8" ht="13.5" customHeight="1">
      <c r="A45" s="387" t="s">
        <v>360</v>
      </c>
      <c r="B45" s="364">
        <v>904.5</v>
      </c>
      <c r="C45" s="364">
        <v>0</v>
      </c>
      <c r="D45" s="370">
        <v>0</v>
      </c>
      <c r="E45" s="368">
        <v>101.5</v>
      </c>
      <c r="F45" s="364">
        <v>0</v>
      </c>
      <c r="G45" s="364">
        <v>443</v>
      </c>
      <c r="H45" s="364">
        <v>0</v>
      </c>
    </row>
    <row r="46" spans="1:8" ht="13.5" customHeight="1">
      <c r="A46" s="388" t="s">
        <v>361</v>
      </c>
      <c r="B46" s="365">
        <v>22780.9</v>
      </c>
      <c r="C46" s="365">
        <v>0</v>
      </c>
      <c r="D46" s="371">
        <v>837.5</v>
      </c>
      <c r="E46" s="369">
        <v>3590</v>
      </c>
      <c r="F46" s="365">
        <v>0</v>
      </c>
      <c r="G46" s="365">
        <v>1600.5</v>
      </c>
      <c r="H46" s="365">
        <v>295.5</v>
      </c>
    </row>
    <row r="47" spans="1:8" ht="13.5" customHeight="1">
      <c r="A47" s="387" t="s">
        <v>365</v>
      </c>
      <c r="B47" s="364">
        <v>29.88</v>
      </c>
      <c r="C47" s="364">
        <v>0</v>
      </c>
      <c r="D47" s="370">
        <v>0</v>
      </c>
      <c r="E47" s="368">
        <v>0</v>
      </c>
      <c r="F47" s="364">
        <v>0</v>
      </c>
      <c r="G47" s="364">
        <v>0</v>
      </c>
      <c r="H47" s="364">
        <v>0</v>
      </c>
    </row>
    <row r="48" spans="1:8" ht="4.5" customHeight="1">
      <c r="A48" s="389"/>
      <c r="B48" s="366"/>
      <c r="C48" s="366"/>
      <c r="D48" s="366"/>
      <c r="E48" s="366"/>
      <c r="F48" s="366"/>
      <c r="G48" s="366"/>
      <c r="H48" s="366"/>
    </row>
    <row r="49" spans="1:8" ht="13.5" customHeight="1">
      <c r="A49" s="383" t="s">
        <v>362</v>
      </c>
      <c r="B49" s="367">
        <f aca="true" t="shared" si="0" ref="B49:H49">SUM(B11:B47)</f>
        <v>131578.58</v>
      </c>
      <c r="C49" s="367">
        <f t="shared" si="0"/>
        <v>4786.7</v>
      </c>
      <c r="D49" s="373">
        <f t="shared" si="0"/>
        <v>8690.1</v>
      </c>
      <c r="E49" s="372">
        <f t="shared" si="0"/>
        <v>17985.949999999997</v>
      </c>
      <c r="F49" s="367">
        <f t="shared" si="0"/>
        <v>157</v>
      </c>
      <c r="G49" s="367">
        <f t="shared" si="0"/>
        <v>7613.6</v>
      </c>
      <c r="H49" s="367">
        <f t="shared" si="0"/>
        <v>1640.5</v>
      </c>
    </row>
    <row r="50" spans="1:8" ht="4.5" customHeight="1">
      <c r="A50" s="389" t="s">
        <v>15</v>
      </c>
      <c r="B50" s="366"/>
      <c r="C50" s="366"/>
      <c r="D50" s="366"/>
      <c r="E50" s="366"/>
      <c r="F50" s="366"/>
      <c r="G50" s="366"/>
      <c r="H50" s="366"/>
    </row>
    <row r="51" spans="1:8" ht="13.5" customHeight="1">
      <c r="A51" s="388" t="s">
        <v>363</v>
      </c>
      <c r="B51" s="365">
        <v>153</v>
      </c>
      <c r="C51" s="365">
        <v>0</v>
      </c>
      <c r="D51" s="371">
        <v>0</v>
      </c>
      <c r="E51" s="365">
        <v>0</v>
      </c>
      <c r="F51" s="365">
        <v>0</v>
      </c>
      <c r="G51" s="365">
        <v>0</v>
      </c>
      <c r="H51" s="365">
        <v>0</v>
      </c>
    </row>
    <row r="52" spans="1:8" ht="13.5" customHeight="1">
      <c r="A52" s="387" t="s">
        <v>364</v>
      </c>
      <c r="B52" s="364">
        <v>273</v>
      </c>
      <c r="C52" s="364">
        <v>0</v>
      </c>
      <c r="D52" s="370">
        <v>0</v>
      </c>
      <c r="E52" s="364">
        <v>0</v>
      </c>
      <c r="F52" s="364">
        <v>0</v>
      </c>
      <c r="G52" s="364">
        <v>0</v>
      </c>
      <c r="H52" s="364">
        <v>0</v>
      </c>
    </row>
    <row r="53" spans="1:8" ht="49.5" customHeight="1">
      <c r="A53" s="315"/>
      <c r="B53" s="323"/>
      <c r="C53" s="323"/>
      <c r="D53" s="323"/>
      <c r="E53" s="323"/>
      <c r="F53" s="323"/>
      <c r="G53" s="323"/>
      <c r="H53" s="323"/>
    </row>
    <row r="54" spans="1:8" ht="15" customHeight="1">
      <c r="A54" s="83" t="s">
        <v>421</v>
      </c>
      <c r="C54" s="83"/>
      <c r="D54" s="83"/>
      <c r="E54" s="83"/>
      <c r="F54" s="83"/>
      <c r="G54" s="83"/>
      <c r="H54" s="83"/>
    </row>
    <row r="55" spans="1:8" ht="14.25" customHeight="1">
      <c r="A55" s="83" t="s">
        <v>422</v>
      </c>
      <c r="C55" s="83"/>
      <c r="D55" s="83"/>
      <c r="E55" s="83"/>
      <c r="F55" s="83"/>
      <c r="G55" s="83"/>
      <c r="H55" s="83"/>
    </row>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D57"/>
  <sheetViews>
    <sheetView showGridLines="0" workbookViewId="0" topLeftCell="A1">
      <selection activeCell="A1" sqref="A1"/>
    </sheetView>
  </sheetViews>
  <sheetFormatPr defaultColWidth="15.83203125" defaultRowHeight="12"/>
  <cols>
    <col min="1" max="1" width="35.83203125" style="67" customWidth="1"/>
    <col min="2" max="2" width="34.83203125" style="67" customWidth="1"/>
    <col min="3" max="3" width="25.83203125" style="67" customWidth="1"/>
    <col min="4" max="4" width="38.83203125" style="67" customWidth="1"/>
    <col min="5" max="16384" width="15.83203125" style="67" customWidth="1"/>
  </cols>
  <sheetData>
    <row r="1" ht="6.75" customHeight="1">
      <c r="A1" s="65"/>
    </row>
    <row r="2" spans="1:4" ht="13.5" customHeight="1">
      <c r="A2" s="68"/>
      <c r="B2" s="475" t="s">
        <v>412</v>
      </c>
      <c r="C2" s="345"/>
      <c r="D2" s="346"/>
    </row>
    <row r="3" spans="1:4" ht="13.5" customHeight="1">
      <c r="A3" s="70"/>
      <c r="B3" s="476" t="s">
        <v>558</v>
      </c>
      <c r="C3" s="114"/>
      <c r="D3" s="259"/>
    </row>
    <row r="5" ht="12.75">
      <c r="B5" s="9"/>
    </row>
    <row r="7" spans="2:3" ht="12.75">
      <c r="B7" s="117"/>
      <c r="C7" s="117" t="s">
        <v>559</v>
      </c>
    </row>
    <row r="8" spans="1:3" ht="12.75">
      <c r="A8" s="313"/>
      <c r="B8" s="119" t="s">
        <v>413</v>
      </c>
      <c r="C8" s="120" t="s">
        <v>146</v>
      </c>
    </row>
    <row r="9" spans="1:3" ht="16.5">
      <c r="A9" s="314" t="s">
        <v>112</v>
      </c>
      <c r="B9" s="121" t="s">
        <v>414</v>
      </c>
      <c r="C9" s="121" t="s">
        <v>415</v>
      </c>
    </row>
    <row r="10" spans="1:4" ht="4.5" customHeight="1">
      <c r="A10" s="62"/>
      <c r="B10" s="136"/>
      <c r="C10" s="136"/>
      <c r="D10" s="65"/>
    </row>
    <row r="11" spans="1:4" ht="12.75">
      <c r="A11" s="387" t="s">
        <v>327</v>
      </c>
      <c r="B11" s="308">
        <v>711272.9600000009</v>
      </c>
      <c r="C11" s="278">
        <f>B11/'- 3 -'!B11</f>
        <v>0.06350413265393938</v>
      </c>
      <c r="D11" s="124"/>
    </row>
    <row r="12" spans="1:4" ht="12.75">
      <c r="A12" s="388" t="s">
        <v>328</v>
      </c>
      <c r="B12" s="309">
        <v>290264</v>
      </c>
      <c r="C12" s="279">
        <f>B12/'- 3 -'!B12</f>
        <v>0.015721123908924026</v>
      </c>
      <c r="D12" s="124"/>
    </row>
    <row r="13" spans="1:4" ht="12.75">
      <c r="A13" s="387" t="s">
        <v>329</v>
      </c>
      <c r="B13" s="308">
        <v>2505528.52</v>
      </c>
      <c r="C13" s="278">
        <f>B13/'- 3 -'!B13</f>
        <v>0.053728147844455745</v>
      </c>
      <c r="D13" s="124"/>
    </row>
    <row r="14" spans="1:4" ht="12.75">
      <c r="A14" s="388" t="s">
        <v>366</v>
      </c>
      <c r="B14" s="309">
        <v>1846903</v>
      </c>
      <c r="C14" s="279">
        <f>B14/'- 3 -'!B14</f>
        <v>0.04674468081121441</v>
      </c>
      <c r="D14" s="124"/>
    </row>
    <row r="15" spans="1:4" ht="12.75">
      <c r="A15" s="387" t="s">
        <v>330</v>
      </c>
      <c r="B15" s="308">
        <v>865818</v>
      </c>
      <c r="C15" s="278">
        <f>B15/'- 3 -'!B15</f>
        <v>0.06858062134747267</v>
      </c>
      <c r="D15" s="124"/>
    </row>
    <row r="16" spans="1:4" ht="12.75">
      <c r="A16" s="388" t="s">
        <v>331</v>
      </c>
      <c r="B16" s="309">
        <v>367213.27999999945</v>
      </c>
      <c r="C16" s="279">
        <f>B16/'- 3 -'!B16</f>
        <v>0.034052156521493945</v>
      </c>
      <c r="D16" s="124"/>
    </row>
    <row r="17" spans="1:4" ht="12.75">
      <c r="A17" s="387" t="s">
        <v>332</v>
      </c>
      <c r="B17" s="308">
        <v>824937.0300000012</v>
      </c>
      <c r="C17" s="278">
        <f>B17/'- 3 -'!B17</f>
        <v>0.06683250196806372</v>
      </c>
      <c r="D17" s="124"/>
    </row>
    <row r="18" spans="1:4" ht="12.75">
      <c r="A18" s="388" t="s">
        <v>333</v>
      </c>
      <c r="B18" s="309">
        <v>3096052.430000007</v>
      </c>
      <c r="C18" s="279">
        <f>B18/'- 3 -'!B18</f>
        <v>0.04147782573510779</v>
      </c>
      <c r="D18" s="124"/>
    </row>
    <row r="19" spans="1:4" ht="12.75">
      <c r="A19" s="387" t="s">
        <v>334</v>
      </c>
      <c r="B19" s="308">
        <v>630343</v>
      </c>
      <c r="C19" s="278">
        <f>B19/'- 3 -'!B19</f>
        <v>0.035326026954447386</v>
      </c>
      <c r="D19" s="124"/>
    </row>
    <row r="20" spans="1:4" ht="12.75">
      <c r="A20" s="388" t="s">
        <v>335</v>
      </c>
      <c r="B20" s="309">
        <v>2781712</v>
      </c>
      <c r="C20" s="279">
        <f>B20/'- 3 -'!B20</f>
        <v>0.08283408618811222</v>
      </c>
      <c r="D20" s="124"/>
    </row>
    <row r="21" spans="1:4" ht="12.75">
      <c r="A21" s="387" t="s">
        <v>336</v>
      </c>
      <c r="B21" s="308">
        <v>923472</v>
      </c>
      <c r="C21" s="278">
        <f>B21/'- 3 -'!B21</f>
        <v>0.039254823516269334</v>
      </c>
      <c r="D21" s="124"/>
    </row>
    <row r="22" spans="1:4" ht="12.75">
      <c r="A22" s="388" t="s">
        <v>337</v>
      </c>
      <c r="B22" s="309">
        <v>488967.7100000009</v>
      </c>
      <c r="C22" s="279">
        <f>B22/'- 3 -'!B22</f>
        <v>0.038146886758832786</v>
      </c>
      <c r="D22" s="124"/>
    </row>
    <row r="23" spans="1:4" ht="12.75">
      <c r="A23" s="387" t="s">
        <v>338</v>
      </c>
      <c r="B23" s="308">
        <v>645103</v>
      </c>
      <c r="C23" s="278">
        <f>B23/'- 3 -'!B23</f>
        <v>0.0601475122299062</v>
      </c>
      <c r="D23" s="124"/>
    </row>
    <row r="24" spans="1:4" ht="12.75">
      <c r="A24" s="388" t="s">
        <v>339</v>
      </c>
      <c r="B24" s="309">
        <v>1787200.59</v>
      </c>
      <c r="C24" s="279">
        <f>B24/'- 3 -'!B24</f>
        <v>0.05318416007053727</v>
      </c>
      <c r="D24" s="124"/>
    </row>
    <row r="25" spans="1:4" ht="12.75">
      <c r="A25" s="387" t="s">
        <v>340</v>
      </c>
      <c r="B25" s="308">
        <v>5477862</v>
      </c>
      <c r="C25" s="278">
        <f>B25/'- 3 -'!B25</f>
        <v>0.052337447073044344</v>
      </c>
      <c r="D25" s="124"/>
    </row>
    <row r="26" spans="1:4" ht="12.75">
      <c r="A26" s="388" t="s">
        <v>341</v>
      </c>
      <c r="B26" s="309">
        <v>1205665.9900000058</v>
      </c>
      <c r="C26" s="279">
        <f>B26/'- 3 -'!B26</f>
        <v>0.04667258398974041</v>
      </c>
      <c r="D26" s="124"/>
    </row>
    <row r="27" spans="1:4" ht="12.75">
      <c r="A27" s="387" t="s">
        <v>342</v>
      </c>
      <c r="B27" s="308">
        <v>136407.1700000018</v>
      </c>
      <c r="C27" s="278">
        <f>B27/'- 3 -'!B27</f>
        <v>0.005309380076049438</v>
      </c>
      <c r="D27" s="124"/>
    </row>
    <row r="28" spans="1:4" ht="12.75">
      <c r="A28" s="388" t="s">
        <v>343</v>
      </c>
      <c r="B28" s="309">
        <v>2012969.04</v>
      </c>
      <c r="C28" s="279">
        <f>B28/'- 3 -'!B28</f>
        <v>0.12473272597157757</v>
      </c>
      <c r="D28" s="124"/>
    </row>
    <row r="29" spans="1:4" ht="12.75">
      <c r="A29" s="387" t="s">
        <v>344</v>
      </c>
      <c r="B29" s="308">
        <v>1576985</v>
      </c>
      <c r="C29" s="278">
        <f>B29/'- 3 -'!B29</f>
        <v>0.015553315497380232</v>
      </c>
      <c r="D29" s="124"/>
    </row>
    <row r="30" spans="1:4" ht="12.75">
      <c r="A30" s="388" t="s">
        <v>345</v>
      </c>
      <c r="B30" s="309">
        <v>934955</v>
      </c>
      <c r="C30" s="279">
        <f>B30/'- 3 -'!B30</f>
        <v>0.0969077980016754</v>
      </c>
      <c r="D30" s="124"/>
    </row>
    <row r="31" spans="1:4" ht="12.75">
      <c r="A31" s="387" t="s">
        <v>346</v>
      </c>
      <c r="B31" s="308">
        <v>1062850</v>
      </c>
      <c r="C31" s="278">
        <f>B31/'- 3 -'!B31</f>
        <v>0.04304773857918607</v>
      </c>
      <c r="D31" s="124"/>
    </row>
    <row r="32" spans="1:4" ht="12.75">
      <c r="A32" s="388" t="s">
        <v>347</v>
      </c>
      <c r="B32" s="309">
        <v>1868496</v>
      </c>
      <c r="C32" s="279">
        <f>B32/'- 3 -'!B32</f>
        <v>0.1017357013527801</v>
      </c>
      <c r="D32" s="124"/>
    </row>
    <row r="33" spans="1:4" ht="12.75">
      <c r="A33" s="387" t="s">
        <v>348</v>
      </c>
      <c r="B33" s="308">
        <v>2340438</v>
      </c>
      <c r="C33" s="278">
        <f>B33/'- 3 -'!B33</f>
        <v>0.10734717173874277</v>
      </c>
      <c r="D33" s="124"/>
    </row>
    <row r="34" spans="1:4" ht="12.75">
      <c r="A34" s="388" t="s">
        <v>349</v>
      </c>
      <c r="B34" s="309">
        <v>316779.7800000012</v>
      </c>
      <c r="C34" s="279">
        <f>B34/'- 3 -'!B34</f>
        <v>0.018813984972731613</v>
      </c>
      <c r="D34" s="124"/>
    </row>
    <row r="35" spans="1:4" ht="12.75">
      <c r="A35" s="387" t="s">
        <v>350</v>
      </c>
      <c r="B35" s="308">
        <v>2987911</v>
      </c>
      <c r="C35" s="278">
        <f>B35/'- 3 -'!B35</f>
        <v>0.02425944459351294</v>
      </c>
      <c r="D35" s="124"/>
    </row>
    <row r="36" spans="1:4" ht="12.75">
      <c r="A36" s="388" t="s">
        <v>351</v>
      </c>
      <c r="B36" s="309">
        <v>882278</v>
      </c>
      <c r="C36" s="279">
        <f>B36/'- 3 -'!B36</f>
        <v>0.05498148885458233</v>
      </c>
      <c r="D36" s="124"/>
    </row>
    <row r="37" spans="1:4" ht="12.75">
      <c r="A37" s="387" t="s">
        <v>352</v>
      </c>
      <c r="B37" s="308">
        <v>2858306.48</v>
      </c>
      <c r="C37" s="278">
        <f>B37/'- 3 -'!B37</f>
        <v>0.11918258022716983</v>
      </c>
      <c r="D37" s="124"/>
    </row>
    <row r="38" spans="1:4" ht="12.75">
      <c r="A38" s="388" t="s">
        <v>353</v>
      </c>
      <c r="B38" s="309">
        <v>2685612.25</v>
      </c>
      <c r="C38" s="279">
        <f>B38/'- 3 -'!B38</f>
        <v>0.04206178462004899</v>
      </c>
      <c r="D38" s="124"/>
    </row>
    <row r="39" spans="1:4" ht="12.75">
      <c r="A39" s="387" t="s">
        <v>354</v>
      </c>
      <c r="B39" s="308">
        <v>1504759.23</v>
      </c>
      <c r="C39" s="278">
        <f>B39/'- 3 -'!B39</f>
        <v>0.10179529009587923</v>
      </c>
      <c r="D39" s="124"/>
    </row>
    <row r="40" spans="1:4" ht="12.75">
      <c r="A40" s="388" t="s">
        <v>355</v>
      </c>
      <c r="B40" s="309">
        <v>1384671</v>
      </c>
      <c r="C40" s="279">
        <f>B40/'- 3 -'!B40</f>
        <v>0.021902089960586325</v>
      </c>
      <c r="D40" s="124"/>
    </row>
    <row r="41" spans="1:4" ht="12.75">
      <c r="A41" s="387" t="s">
        <v>356</v>
      </c>
      <c r="B41" s="308">
        <v>795058</v>
      </c>
      <c r="C41" s="278">
        <f>B41/'- 3 -'!B41</f>
        <v>0.02084295501970145</v>
      </c>
      <c r="D41" s="124"/>
    </row>
    <row r="42" spans="1:4" ht="12.75">
      <c r="A42" s="388" t="s">
        <v>357</v>
      </c>
      <c r="B42" s="309">
        <v>1634518.72</v>
      </c>
      <c r="C42" s="279">
        <f>B42/'- 3 -'!B42</f>
        <v>0.11090988764743313</v>
      </c>
      <c r="D42" s="124"/>
    </row>
    <row r="43" spans="1:4" ht="12.75">
      <c r="A43" s="387" t="s">
        <v>358</v>
      </c>
      <c r="B43" s="308">
        <v>565009</v>
      </c>
      <c r="C43" s="278">
        <f>B43/'- 3 -'!B43</f>
        <v>0.06176521067067205</v>
      </c>
      <c r="D43" s="124"/>
    </row>
    <row r="44" spans="1:4" ht="12.75">
      <c r="A44" s="388" t="s">
        <v>359</v>
      </c>
      <c r="B44" s="309">
        <v>555720.13</v>
      </c>
      <c r="C44" s="279">
        <f>B44/'- 3 -'!B44</f>
        <v>0.08352321313082477</v>
      </c>
      <c r="D44" s="124"/>
    </row>
    <row r="45" spans="1:4" ht="12.75">
      <c r="A45" s="387" t="s">
        <v>360</v>
      </c>
      <c r="B45" s="308">
        <v>693877.7199999988</v>
      </c>
      <c r="C45" s="278">
        <f>B45/'- 3 -'!B45</f>
        <v>0.06991874896337756</v>
      </c>
      <c r="D45" s="124"/>
    </row>
    <row r="46" spans="1:4" ht="12.75">
      <c r="A46" s="388" t="s">
        <v>361</v>
      </c>
      <c r="B46" s="309">
        <v>18393402.059999973</v>
      </c>
      <c r="C46" s="279">
        <f>B46/'- 3 -'!B46</f>
        <v>0.07277046046145208</v>
      </c>
      <c r="D46" s="124"/>
    </row>
    <row r="47" spans="1:4" ht="12.75">
      <c r="A47" s="387" t="s">
        <v>365</v>
      </c>
      <c r="B47" s="426" t="s">
        <v>416</v>
      </c>
      <c r="C47" s="426" t="s">
        <v>416</v>
      </c>
      <c r="D47" s="124"/>
    </row>
    <row r="48" spans="1:4" ht="4.5" customHeight="1">
      <c r="A48"/>
      <c r="B48" s="310"/>
      <c r="C48" s="162"/>
      <c r="D48"/>
    </row>
    <row r="49" spans="1:4" ht="12.75">
      <c r="A49" s="383" t="s">
        <v>362</v>
      </c>
      <c r="B49" s="311">
        <f>SUM(B11:B47)</f>
        <v>69639319.08999997</v>
      </c>
      <c r="C49" s="81">
        <f>B49/'- 3 -'!B49</f>
        <v>0.050869442538366</v>
      </c>
      <c r="D49" s="124"/>
    </row>
    <row r="50" spans="1:4" ht="4.5" customHeight="1">
      <c r="A50" s="389" t="s">
        <v>15</v>
      </c>
      <c r="B50" s="310"/>
      <c r="C50" s="162"/>
      <c r="D50" s="124"/>
    </row>
    <row r="51" spans="1:4" ht="12.75">
      <c r="A51" s="388" t="s">
        <v>363</v>
      </c>
      <c r="B51" s="309">
        <v>119792.6</v>
      </c>
      <c r="C51" s="279">
        <f>B51/'- 3 -'!B51</f>
        <v>0.08926210403328684</v>
      </c>
      <c r="D51" s="124"/>
    </row>
    <row r="52" spans="1:4" ht="12.75">
      <c r="A52" s="387" t="s">
        <v>364</v>
      </c>
      <c r="B52" s="308">
        <v>392676</v>
      </c>
      <c r="C52" s="278">
        <f>B52/'- 3 -'!B52</f>
        <v>0.16467447439966887</v>
      </c>
      <c r="D52" s="124"/>
    </row>
    <row r="53" spans="1:4" ht="49.5" customHeight="1">
      <c r="A53" s="324"/>
      <c r="B53" s="324"/>
      <c r="C53" s="324"/>
      <c r="D53" s="324"/>
    </row>
    <row r="54" ht="15" customHeight="1">
      <c r="A54" s="99" t="s">
        <v>2</v>
      </c>
    </row>
    <row r="55" ht="14.25" customHeight="1">
      <c r="A55" s="482" t="s">
        <v>3</v>
      </c>
    </row>
    <row r="56" ht="14.25" customHeight="1">
      <c r="A56" s="99" t="s">
        <v>4</v>
      </c>
    </row>
    <row r="57" ht="14.25" customHeight="1">
      <c r="A57" s="482" t="s">
        <v>5</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G58"/>
  <sheetViews>
    <sheetView showGridLines="0" showZeros="0" workbookViewId="0" topLeftCell="A1">
      <selection activeCell="A1" sqref="A1"/>
    </sheetView>
  </sheetViews>
  <sheetFormatPr defaultColWidth="15.83203125" defaultRowHeight="12"/>
  <cols>
    <col min="1" max="1" width="31.83203125" style="67" customWidth="1"/>
    <col min="2" max="2" width="19.83203125" style="67" customWidth="1"/>
    <col min="3" max="3" width="17.83203125" style="67" customWidth="1"/>
    <col min="4" max="4" width="16.83203125" style="67" customWidth="1"/>
    <col min="5" max="5" width="15.83203125" style="67" customWidth="1"/>
    <col min="6" max="7" width="16.83203125" style="67" customWidth="1"/>
    <col min="8" max="16384" width="15.83203125" style="67" customWidth="1"/>
  </cols>
  <sheetData>
    <row r="1" ht="6.75" customHeight="1">
      <c r="A1" s="65"/>
    </row>
    <row r="2" spans="1:7" ht="15.75" customHeight="1">
      <c r="A2" s="333"/>
      <c r="B2" s="475" t="s">
        <v>127</v>
      </c>
      <c r="C2" s="348"/>
      <c r="D2" s="348"/>
      <c r="E2" s="348"/>
      <c r="F2" s="349"/>
      <c r="G2" s="350" t="s">
        <v>14</v>
      </c>
    </row>
    <row r="3" spans="1:7" ht="15.75" customHeight="1">
      <c r="A3" s="334"/>
      <c r="B3" s="476" t="s">
        <v>560</v>
      </c>
      <c r="C3" s="351"/>
      <c r="D3" s="343"/>
      <c r="E3" s="343"/>
      <c r="F3" s="344"/>
      <c r="G3" s="344"/>
    </row>
    <row r="4" spans="2:7" ht="15.75" customHeight="1">
      <c r="B4" s="116"/>
      <c r="C4" s="145"/>
      <c r="D4" s="146"/>
      <c r="E4" s="116"/>
      <c r="F4" s="116"/>
      <c r="G4" s="116"/>
    </row>
    <row r="5" spans="2:7" ht="15.75" customHeight="1">
      <c r="B5" s="43"/>
      <c r="C5" s="116"/>
      <c r="D5" s="116"/>
      <c r="E5" s="116"/>
      <c r="F5" s="116"/>
      <c r="G5" s="116"/>
    </row>
    <row r="6" spans="2:7" ht="15.75" customHeight="1">
      <c r="B6" s="189" t="s">
        <v>135</v>
      </c>
      <c r="C6" s="103"/>
      <c r="D6" s="103"/>
      <c r="E6" s="103"/>
      <c r="F6" s="103"/>
      <c r="G6" s="104"/>
    </row>
    <row r="7" spans="2:7" ht="15.75" customHeight="1">
      <c r="B7" s="117"/>
      <c r="C7" s="117"/>
      <c r="D7" s="117"/>
      <c r="E7" s="131"/>
      <c r="F7" s="117" t="s">
        <v>148</v>
      </c>
      <c r="G7" s="131"/>
    </row>
    <row r="8" spans="1:7" ht="15.75" customHeight="1">
      <c r="A8" s="313"/>
      <c r="B8" s="144" t="s">
        <v>161</v>
      </c>
      <c r="C8" s="119" t="s">
        <v>171</v>
      </c>
      <c r="D8" s="119" t="s">
        <v>172</v>
      </c>
      <c r="E8" s="141"/>
      <c r="F8" s="119" t="s">
        <v>173</v>
      </c>
      <c r="G8" s="141"/>
    </row>
    <row r="9" spans="1:7" ht="15.75" customHeight="1">
      <c r="A9" s="314" t="s">
        <v>112</v>
      </c>
      <c r="B9" s="56" t="s">
        <v>163</v>
      </c>
      <c r="C9" s="121" t="s">
        <v>367</v>
      </c>
      <c r="D9" s="121" t="s">
        <v>174</v>
      </c>
      <c r="E9" s="121" t="s">
        <v>69</v>
      </c>
      <c r="F9" s="121" t="s">
        <v>176</v>
      </c>
      <c r="G9" s="121" t="s">
        <v>81</v>
      </c>
    </row>
    <row r="10" spans="1:7" ht="4.5" customHeight="1">
      <c r="A10" s="62"/>
      <c r="B10" s="122"/>
      <c r="C10" s="122"/>
      <c r="D10" s="122"/>
      <c r="E10" s="122"/>
      <c r="F10" s="122"/>
      <c r="G10" s="122"/>
    </row>
    <row r="11" spans="1:7" ht="13.5" customHeight="1">
      <c r="A11" s="387" t="s">
        <v>327</v>
      </c>
      <c r="B11" s="308">
        <v>976056</v>
      </c>
      <c r="C11" s="308">
        <v>177000</v>
      </c>
      <c r="D11" s="308">
        <v>1174700</v>
      </c>
      <c r="E11" s="308">
        <v>5299</v>
      </c>
      <c r="F11" s="308">
        <v>225606</v>
      </c>
      <c r="G11" s="308">
        <f>SUM(B11:F11)</f>
        <v>2558661</v>
      </c>
    </row>
    <row r="12" spans="1:7" ht="13.5" customHeight="1">
      <c r="A12" s="388" t="s">
        <v>328</v>
      </c>
      <c r="B12" s="309">
        <v>700292</v>
      </c>
      <c r="C12" s="309">
        <v>224900</v>
      </c>
      <c r="D12" s="309">
        <v>2209102</v>
      </c>
      <c r="E12" s="309">
        <v>358672</v>
      </c>
      <c r="F12" s="309">
        <v>297919</v>
      </c>
      <c r="G12" s="309">
        <f aca="true" t="shared" si="0" ref="G12:G47">SUM(B12:F12)</f>
        <v>3790885</v>
      </c>
    </row>
    <row r="13" spans="1:7" ht="13.5" customHeight="1">
      <c r="A13" s="387" t="s">
        <v>329</v>
      </c>
      <c r="B13" s="308">
        <v>2497208</v>
      </c>
      <c r="C13" s="308">
        <v>392736</v>
      </c>
      <c r="D13" s="308">
        <v>1734700</v>
      </c>
      <c r="E13" s="308">
        <v>24052</v>
      </c>
      <c r="F13" s="308">
        <v>2299978</v>
      </c>
      <c r="G13" s="308">
        <f t="shared" si="0"/>
        <v>6948674</v>
      </c>
    </row>
    <row r="14" spans="1:7" ht="13.5" customHeight="1">
      <c r="A14" s="388" t="s">
        <v>366</v>
      </c>
      <c r="B14" s="309">
        <v>2976286</v>
      </c>
      <c r="C14" s="309">
        <v>332004</v>
      </c>
      <c r="D14" s="309">
        <v>955500</v>
      </c>
      <c r="E14" s="309">
        <v>299625</v>
      </c>
      <c r="F14" s="309">
        <v>1847032</v>
      </c>
      <c r="G14" s="309">
        <f t="shared" si="0"/>
        <v>6410447</v>
      </c>
    </row>
    <row r="15" spans="1:7" ht="13.5" customHeight="1">
      <c r="A15" s="387" t="s">
        <v>330</v>
      </c>
      <c r="B15" s="308">
        <v>671026</v>
      </c>
      <c r="C15" s="308">
        <v>345097</v>
      </c>
      <c r="D15" s="308">
        <v>4417400</v>
      </c>
      <c r="E15" s="308">
        <v>0</v>
      </c>
      <c r="F15" s="308">
        <v>0</v>
      </c>
      <c r="G15" s="308">
        <f t="shared" si="0"/>
        <v>5433523</v>
      </c>
    </row>
    <row r="16" spans="1:7" ht="13.5" customHeight="1">
      <c r="A16" s="388" t="s">
        <v>331</v>
      </c>
      <c r="B16" s="309">
        <v>203933</v>
      </c>
      <c r="C16" s="309">
        <v>14936</v>
      </c>
      <c r="D16" s="309">
        <v>0</v>
      </c>
      <c r="E16" s="309">
        <v>1879</v>
      </c>
      <c r="F16" s="309">
        <v>57429</v>
      </c>
      <c r="G16" s="309">
        <f t="shared" si="0"/>
        <v>278177</v>
      </c>
    </row>
    <row r="17" spans="1:7" ht="13.5" customHeight="1">
      <c r="A17" s="387" t="s">
        <v>332</v>
      </c>
      <c r="B17" s="308">
        <v>1160211</v>
      </c>
      <c r="C17" s="308">
        <v>254713</v>
      </c>
      <c r="D17" s="308">
        <v>89000</v>
      </c>
      <c r="E17" s="308">
        <v>1623</v>
      </c>
      <c r="F17" s="308">
        <v>364575</v>
      </c>
      <c r="G17" s="308">
        <f t="shared" si="0"/>
        <v>1870122</v>
      </c>
    </row>
    <row r="18" spans="1:7" ht="13.5" customHeight="1">
      <c r="A18" s="388" t="s">
        <v>333</v>
      </c>
      <c r="B18" s="309">
        <v>1464082</v>
      </c>
      <c r="C18" s="309">
        <v>0</v>
      </c>
      <c r="D18" s="309">
        <v>1828864</v>
      </c>
      <c r="E18" s="309">
        <v>388786</v>
      </c>
      <c r="F18" s="309">
        <v>4048546</v>
      </c>
      <c r="G18" s="309">
        <f t="shared" si="0"/>
        <v>7730278</v>
      </c>
    </row>
    <row r="19" spans="1:7" ht="13.5" customHeight="1">
      <c r="A19" s="387" t="s">
        <v>334</v>
      </c>
      <c r="B19" s="308">
        <v>1615518</v>
      </c>
      <c r="C19" s="308">
        <v>128816</v>
      </c>
      <c r="D19" s="308">
        <v>993900</v>
      </c>
      <c r="E19" s="308">
        <v>3000</v>
      </c>
      <c r="F19" s="308">
        <v>228908</v>
      </c>
      <c r="G19" s="308">
        <f t="shared" si="0"/>
        <v>2970142</v>
      </c>
    </row>
    <row r="20" spans="1:7" ht="13.5" customHeight="1">
      <c r="A20" s="388" t="s">
        <v>335</v>
      </c>
      <c r="B20" s="309">
        <v>2833511</v>
      </c>
      <c r="C20" s="309">
        <v>616808</v>
      </c>
      <c r="D20" s="309">
        <v>3338400</v>
      </c>
      <c r="E20" s="309">
        <v>1000</v>
      </c>
      <c r="F20" s="309">
        <v>731203</v>
      </c>
      <c r="G20" s="309">
        <f t="shared" si="0"/>
        <v>7520922</v>
      </c>
    </row>
    <row r="21" spans="1:7" ht="13.5" customHeight="1">
      <c r="A21" s="387" t="s">
        <v>336</v>
      </c>
      <c r="B21" s="308">
        <v>840171</v>
      </c>
      <c r="C21" s="308">
        <v>1157666</v>
      </c>
      <c r="D21" s="308">
        <v>501000</v>
      </c>
      <c r="E21" s="308">
        <v>109830</v>
      </c>
      <c r="F21" s="308">
        <v>738151</v>
      </c>
      <c r="G21" s="308">
        <f t="shared" si="0"/>
        <v>3346818</v>
      </c>
    </row>
    <row r="22" spans="1:7" ht="13.5" customHeight="1">
      <c r="A22" s="388" t="s">
        <v>337</v>
      </c>
      <c r="B22" s="309">
        <v>344838</v>
      </c>
      <c r="C22" s="309">
        <v>36811</v>
      </c>
      <c r="D22" s="309">
        <v>76900</v>
      </c>
      <c r="E22" s="309">
        <v>0</v>
      </c>
      <c r="F22" s="309">
        <v>216926</v>
      </c>
      <c r="G22" s="309">
        <f t="shared" si="0"/>
        <v>675475</v>
      </c>
    </row>
    <row r="23" spans="1:7" ht="13.5" customHeight="1">
      <c r="A23" s="387" t="s">
        <v>338</v>
      </c>
      <c r="B23" s="308">
        <v>409781</v>
      </c>
      <c r="C23" s="308">
        <v>210994</v>
      </c>
      <c r="D23" s="308">
        <v>0</v>
      </c>
      <c r="E23" s="308">
        <v>5605</v>
      </c>
      <c r="F23" s="308">
        <v>147444</v>
      </c>
      <c r="G23" s="308">
        <f t="shared" si="0"/>
        <v>773824</v>
      </c>
    </row>
    <row r="24" spans="1:7" ht="13.5" customHeight="1">
      <c r="A24" s="388" t="s">
        <v>339</v>
      </c>
      <c r="B24" s="309">
        <v>1217058</v>
      </c>
      <c r="C24" s="309">
        <v>573913</v>
      </c>
      <c r="D24" s="309">
        <v>1417700</v>
      </c>
      <c r="E24" s="309">
        <v>5839</v>
      </c>
      <c r="F24" s="309">
        <v>600830</v>
      </c>
      <c r="G24" s="309">
        <f t="shared" si="0"/>
        <v>3815340</v>
      </c>
    </row>
    <row r="25" spans="1:7" ht="13.5" customHeight="1">
      <c r="A25" s="387" t="s">
        <v>340</v>
      </c>
      <c r="B25" s="308">
        <v>4587374</v>
      </c>
      <c r="C25" s="308">
        <v>283852</v>
      </c>
      <c r="D25" s="308">
        <v>1487116</v>
      </c>
      <c r="E25" s="308">
        <v>34600</v>
      </c>
      <c r="F25" s="308">
        <v>2943744</v>
      </c>
      <c r="G25" s="308">
        <f t="shared" si="0"/>
        <v>9336686</v>
      </c>
    </row>
    <row r="26" spans="1:7" ht="13.5" customHeight="1">
      <c r="A26" s="388" t="s">
        <v>341</v>
      </c>
      <c r="B26" s="309">
        <v>1172097</v>
      </c>
      <c r="C26" s="309">
        <v>424589.34</v>
      </c>
      <c r="D26" s="309">
        <v>833980.6</v>
      </c>
      <c r="E26" s="309">
        <v>-34940.02</v>
      </c>
      <c r="F26" s="309">
        <v>1122721.11</v>
      </c>
      <c r="G26" s="309">
        <f t="shared" si="0"/>
        <v>3518448.0300000003</v>
      </c>
    </row>
    <row r="27" spans="1:7" ht="13.5" customHeight="1">
      <c r="A27" s="387" t="s">
        <v>342</v>
      </c>
      <c r="B27" s="308">
        <v>1042875</v>
      </c>
      <c r="C27" s="308">
        <v>78233</v>
      </c>
      <c r="D27" s="308">
        <v>0</v>
      </c>
      <c r="E27" s="308">
        <v>0</v>
      </c>
      <c r="F27" s="308">
        <v>983879</v>
      </c>
      <c r="G27" s="308">
        <f t="shared" si="0"/>
        <v>2104987</v>
      </c>
    </row>
    <row r="28" spans="1:7" ht="13.5" customHeight="1">
      <c r="A28" s="388" t="s">
        <v>343</v>
      </c>
      <c r="B28" s="309">
        <v>1184531</v>
      </c>
      <c r="C28" s="309">
        <v>209643</v>
      </c>
      <c r="D28" s="309">
        <v>377000</v>
      </c>
      <c r="E28" s="309">
        <v>0</v>
      </c>
      <c r="F28" s="309">
        <v>864048</v>
      </c>
      <c r="G28" s="309">
        <f t="shared" si="0"/>
        <v>2635222</v>
      </c>
    </row>
    <row r="29" spans="1:7" ht="13.5" customHeight="1">
      <c r="A29" s="387" t="s">
        <v>344</v>
      </c>
      <c r="B29" s="308">
        <v>3876304</v>
      </c>
      <c r="C29" s="308">
        <v>1279708</v>
      </c>
      <c r="D29" s="308">
        <v>1754100</v>
      </c>
      <c r="E29" s="308">
        <v>0</v>
      </c>
      <c r="F29" s="308">
        <v>179196</v>
      </c>
      <c r="G29" s="308">
        <f t="shared" si="0"/>
        <v>7089308</v>
      </c>
    </row>
    <row r="30" spans="1:7" ht="13.5" customHeight="1">
      <c r="A30" s="388" t="s">
        <v>345</v>
      </c>
      <c r="B30" s="309">
        <v>374817</v>
      </c>
      <c r="C30" s="309">
        <v>399307</v>
      </c>
      <c r="D30" s="309">
        <v>372000</v>
      </c>
      <c r="E30" s="309">
        <v>7183</v>
      </c>
      <c r="F30" s="309">
        <v>502500</v>
      </c>
      <c r="G30" s="309">
        <f t="shared" si="0"/>
        <v>1655807</v>
      </c>
    </row>
    <row r="31" spans="1:7" ht="13.5" customHeight="1">
      <c r="A31" s="387" t="s">
        <v>346</v>
      </c>
      <c r="B31" s="308">
        <v>978304</v>
      </c>
      <c r="C31" s="308">
        <v>223089</v>
      </c>
      <c r="D31" s="308">
        <v>83100</v>
      </c>
      <c r="E31" s="308">
        <v>9188</v>
      </c>
      <c r="F31" s="308">
        <v>165765</v>
      </c>
      <c r="G31" s="308">
        <f t="shared" si="0"/>
        <v>1459446</v>
      </c>
    </row>
    <row r="32" spans="1:7" ht="13.5" customHeight="1">
      <c r="A32" s="388" t="s">
        <v>347</v>
      </c>
      <c r="B32" s="309">
        <v>1067840</v>
      </c>
      <c r="C32" s="309">
        <v>392190</v>
      </c>
      <c r="D32" s="309">
        <v>86000</v>
      </c>
      <c r="E32" s="309">
        <v>0</v>
      </c>
      <c r="F32" s="309">
        <v>48799</v>
      </c>
      <c r="G32" s="309">
        <f t="shared" si="0"/>
        <v>1594829</v>
      </c>
    </row>
    <row r="33" spans="1:7" ht="13.5" customHeight="1">
      <c r="A33" s="387" t="s">
        <v>348</v>
      </c>
      <c r="B33" s="308">
        <v>1356626</v>
      </c>
      <c r="C33" s="308">
        <v>365629</v>
      </c>
      <c r="D33" s="308">
        <v>400900</v>
      </c>
      <c r="E33" s="308">
        <v>0</v>
      </c>
      <c r="F33" s="308">
        <v>114589</v>
      </c>
      <c r="G33" s="308">
        <f t="shared" si="0"/>
        <v>2237744</v>
      </c>
    </row>
    <row r="34" spans="1:7" ht="13.5" customHeight="1">
      <c r="A34" s="388" t="s">
        <v>349</v>
      </c>
      <c r="B34" s="309">
        <v>1263999</v>
      </c>
      <c r="C34" s="309">
        <v>118359</v>
      </c>
      <c r="D34" s="309">
        <v>411400</v>
      </c>
      <c r="E34" s="309">
        <v>276973</v>
      </c>
      <c r="F34" s="309">
        <v>392649</v>
      </c>
      <c r="G34" s="309">
        <f t="shared" si="0"/>
        <v>2463380</v>
      </c>
    </row>
    <row r="35" spans="1:7" ht="13.5" customHeight="1">
      <c r="A35" s="387" t="s">
        <v>350</v>
      </c>
      <c r="B35" s="308">
        <v>4586135</v>
      </c>
      <c r="C35" s="308">
        <v>1566133</v>
      </c>
      <c r="D35" s="308">
        <v>2914100</v>
      </c>
      <c r="E35" s="308">
        <v>41748</v>
      </c>
      <c r="F35" s="308">
        <v>3922571</v>
      </c>
      <c r="G35" s="308">
        <f t="shared" si="0"/>
        <v>13030687</v>
      </c>
    </row>
    <row r="36" spans="1:7" ht="13.5" customHeight="1">
      <c r="A36" s="388" t="s">
        <v>351</v>
      </c>
      <c r="B36" s="309">
        <v>1012138</v>
      </c>
      <c r="C36" s="309">
        <v>253578</v>
      </c>
      <c r="D36" s="309">
        <v>946700</v>
      </c>
      <c r="E36" s="309">
        <v>0</v>
      </c>
      <c r="F36" s="309">
        <v>363167</v>
      </c>
      <c r="G36" s="309">
        <f t="shared" si="0"/>
        <v>2575583</v>
      </c>
    </row>
    <row r="37" spans="1:7" ht="13.5" customHeight="1">
      <c r="A37" s="387" t="s">
        <v>352</v>
      </c>
      <c r="B37" s="308">
        <v>1964389</v>
      </c>
      <c r="C37" s="308">
        <v>571443</v>
      </c>
      <c r="D37" s="308">
        <v>304400</v>
      </c>
      <c r="E37" s="308">
        <v>48008</v>
      </c>
      <c r="F37" s="308">
        <v>197435</v>
      </c>
      <c r="G37" s="308">
        <f t="shared" si="0"/>
        <v>3085675</v>
      </c>
    </row>
    <row r="38" spans="1:7" ht="13.5" customHeight="1">
      <c r="A38" s="388" t="s">
        <v>353</v>
      </c>
      <c r="B38" s="309">
        <v>2766669</v>
      </c>
      <c r="C38" s="309">
        <v>767594</v>
      </c>
      <c r="D38" s="309">
        <v>1603900</v>
      </c>
      <c r="E38" s="309">
        <v>254509</v>
      </c>
      <c r="F38" s="309">
        <v>2379355</v>
      </c>
      <c r="G38" s="309">
        <f t="shared" si="0"/>
        <v>7772027</v>
      </c>
    </row>
    <row r="39" spans="1:7" ht="13.5" customHeight="1">
      <c r="A39" s="387" t="s">
        <v>354</v>
      </c>
      <c r="B39" s="308">
        <v>662288</v>
      </c>
      <c r="C39" s="308">
        <v>162258</v>
      </c>
      <c r="D39" s="308">
        <v>1153300</v>
      </c>
      <c r="E39" s="308">
        <v>2683</v>
      </c>
      <c r="F39" s="308">
        <v>456818</v>
      </c>
      <c r="G39" s="308">
        <f t="shared" si="0"/>
        <v>2437347</v>
      </c>
    </row>
    <row r="40" spans="1:7" ht="13.5" customHeight="1">
      <c r="A40" s="388" t="s">
        <v>355</v>
      </c>
      <c r="B40" s="309">
        <v>1267828</v>
      </c>
      <c r="C40" s="309">
        <v>287791</v>
      </c>
      <c r="D40" s="309">
        <v>751700</v>
      </c>
      <c r="E40" s="309">
        <v>603348</v>
      </c>
      <c r="F40" s="309">
        <v>1351614</v>
      </c>
      <c r="G40" s="309">
        <f t="shared" si="0"/>
        <v>4262281</v>
      </c>
    </row>
    <row r="41" spans="1:7" ht="13.5" customHeight="1">
      <c r="A41" s="387" t="s">
        <v>356</v>
      </c>
      <c r="B41" s="308">
        <v>1656885</v>
      </c>
      <c r="C41" s="308">
        <v>720017</v>
      </c>
      <c r="D41" s="308">
        <v>5825885</v>
      </c>
      <c r="E41" s="308">
        <v>38108</v>
      </c>
      <c r="F41" s="308">
        <v>3258990</v>
      </c>
      <c r="G41" s="308">
        <f t="shared" si="0"/>
        <v>11499885</v>
      </c>
    </row>
    <row r="42" spans="1:7" ht="13.5" customHeight="1">
      <c r="A42" s="388" t="s">
        <v>357</v>
      </c>
      <c r="B42" s="309">
        <v>331616</v>
      </c>
      <c r="C42" s="309">
        <v>499880</v>
      </c>
      <c r="D42" s="309">
        <v>147700</v>
      </c>
      <c r="E42" s="309">
        <v>3594</v>
      </c>
      <c r="F42" s="309">
        <v>270821</v>
      </c>
      <c r="G42" s="309">
        <f t="shared" si="0"/>
        <v>1253611</v>
      </c>
    </row>
    <row r="43" spans="1:7" ht="13.5" customHeight="1">
      <c r="A43" s="387" t="s">
        <v>358</v>
      </c>
      <c r="B43" s="308">
        <v>471912</v>
      </c>
      <c r="C43" s="308">
        <v>264707</v>
      </c>
      <c r="D43" s="308">
        <v>25000</v>
      </c>
      <c r="E43" s="308">
        <v>2563</v>
      </c>
      <c r="F43" s="308">
        <v>169688</v>
      </c>
      <c r="G43" s="308">
        <f t="shared" si="0"/>
        <v>933870</v>
      </c>
    </row>
    <row r="44" spans="1:7" ht="13.5" customHeight="1">
      <c r="A44" s="388" t="s">
        <v>359</v>
      </c>
      <c r="B44" s="309">
        <v>368350</v>
      </c>
      <c r="C44" s="309">
        <v>316921</v>
      </c>
      <c r="D44" s="309">
        <v>0</v>
      </c>
      <c r="E44" s="309">
        <v>2457</v>
      </c>
      <c r="F44" s="309">
        <v>159334</v>
      </c>
      <c r="G44" s="309">
        <f t="shared" si="0"/>
        <v>847062</v>
      </c>
    </row>
    <row r="45" spans="1:7" ht="13.5" customHeight="1">
      <c r="A45" s="387" t="s">
        <v>360</v>
      </c>
      <c r="B45" s="308">
        <v>751565</v>
      </c>
      <c r="C45" s="308">
        <v>151701</v>
      </c>
      <c r="D45" s="308">
        <v>25000</v>
      </c>
      <c r="E45" s="308">
        <v>10712</v>
      </c>
      <c r="F45" s="308">
        <v>80778</v>
      </c>
      <c r="G45" s="308">
        <f t="shared" si="0"/>
        <v>1019756</v>
      </c>
    </row>
    <row r="46" spans="1:7" ht="13.5" customHeight="1">
      <c r="A46" s="388" t="s">
        <v>361</v>
      </c>
      <c r="B46" s="309">
        <v>11596589</v>
      </c>
      <c r="C46" s="309">
        <v>973718</v>
      </c>
      <c r="D46" s="309">
        <v>8528700</v>
      </c>
      <c r="E46" s="309">
        <v>635427</v>
      </c>
      <c r="F46" s="309">
        <v>5658852</v>
      </c>
      <c r="G46" s="309">
        <f t="shared" si="0"/>
        <v>27393286</v>
      </c>
    </row>
    <row r="47" spans="1:7" ht="13.5" customHeight="1">
      <c r="A47" s="387" t="s">
        <v>365</v>
      </c>
      <c r="B47" s="308">
        <v>729361</v>
      </c>
      <c r="C47" s="308">
        <v>62569</v>
      </c>
      <c r="D47" s="308">
        <v>0</v>
      </c>
      <c r="E47" s="308">
        <v>0</v>
      </c>
      <c r="F47" s="308">
        <v>0</v>
      </c>
      <c r="G47" s="308">
        <f t="shared" si="0"/>
        <v>791930</v>
      </c>
    </row>
    <row r="48" spans="1:7" ht="4.5" customHeight="1">
      <c r="A48" s="389"/>
      <c r="B48" s="310"/>
      <c r="C48" s="310"/>
      <c r="D48" s="310"/>
      <c r="E48" s="310"/>
      <c r="F48" s="310"/>
      <c r="G48" s="310"/>
    </row>
    <row r="49" spans="1:7" ht="13.5" customHeight="1">
      <c r="A49" s="383" t="s">
        <v>362</v>
      </c>
      <c r="B49" s="311">
        <f aca="true" t="shared" si="1" ref="B49:G49">SUM(B11:B47)</f>
        <v>62980463</v>
      </c>
      <c r="C49" s="311">
        <f t="shared" si="1"/>
        <v>14839303.34</v>
      </c>
      <c r="D49" s="311">
        <f t="shared" si="1"/>
        <v>46769147.6</v>
      </c>
      <c r="E49" s="311">
        <f t="shared" si="1"/>
        <v>3141370.98</v>
      </c>
      <c r="F49" s="311">
        <f t="shared" si="1"/>
        <v>37391860.11</v>
      </c>
      <c r="G49" s="311">
        <f t="shared" si="1"/>
        <v>165122145.03</v>
      </c>
    </row>
    <row r="50" spans="1:7" ht="4.5" customHeight="1">
      <c r="A50" s="389" t="s">
        <v>15</v>
      </c>
      <c r="B50" s="310"/>
      <c r="C50" s="310"/>
      <c r="D50" s="310"/>
      <c r="E50" s="310"/>
      <c r="F50" s="310"/>
      <c r="G50" s="310"/>
    </row>
    <row r="51" spans="1:7" ht="13.5" customHeight="1">
      <c r="A51" s="388" t="s">
        <v>363</v>
      </c>
      <c r="B51" s="309">
        <v>0</v>
      </c>
      <c r="C51" s="309">
        <v>0</v>
      </c>
      <c r="D51" s="309">
        <v>0</v>
      </c>
      <c r="E51" s="309">
        <v>0</v>
      </c>
      <c r="F51" s="309">
        <v>0</v>
      </c>
      <c r="G51" s="309">
        <f>SUM(B51:F51)</f>
        <v>0</v>
      </c>
    </row>
    <row r="52" spans="1:7" ht="13.5" customHeight="1">
      <c r="A52" s="387" t="s">
        <v>364</v>
      </c>
      <c r="B52" s="308">
        <v>0</v>
      </c>
      <c r="C52" s="308">
        <v>70000</v>
      </c>
      <c r="D52" s="308">
        <v>0</v>
      </c>
      <c r="E52" s="308">
        <v>3733</v>
      </c>
      <c r="F52" s="308">
        <v>309913</v>
      </c>
      <c r="G52" s="308">
        <f>SUM(B52:F52)</f>
        <v>383646</v>
      </c>
    </row>
    <row r="53" spans="1:7" ht="49.5" customHeight="1">
      <c r="A53" s="324"/>
      <c r="B53" s="324"/>
      <c r="C53" s="324"/>
      <c r="D53" s="324"/>
      <c r="E53" s="324"/>
      <c r="F53" s="324"/>
      <c r="G53" s="324"/>
    </row>
    <row r="54" spans="1:7" ht="15" customHeight="1">
      <c r="A54" s="406" t="s">
        <v>6</v>
      </c>
      <c r="B54" s="9"/>
      <c r="C54" s="9"/>
      <c r="D54" s="9"/>
      <c r="E54" s="9"/>
      <c r="F54" s="9"/>
      <c r="G54" s="9"/>
    </row>
    <row r="55" spans="1:7" ht="12" customHeight="1">
      <c r="A55" s="3"/>
      <c r="B55" s="9"/>
      <c r="C55" s="9"/>
      <c r="D55" s="9"/>
      <c r="E55" s="9"/>
      <c r="F55" s="9"/>
      <c r="G55" s="9"/>
    </row>
    <row r="56" spans="1:7" ht="12" customHeight="1">
      <c r="A56" s="3"/>
      <c r="B56" s="9"/>
      <c r="C56" s="9"/>
      <c r="D56" s="9"/>
      <c r="E56" s="9"/>
      <c r="F56" s="9"/>
      <c r="G56" s="9"/>
    </row>
    <row r="57" spans="1:7" ht="12" customHeight="1">
      <c r="A57" s="3"/>
      <c r="B57" s="9"/>
      <c r="C57" s="9"/>
      <c r="D57" s="9"/>
      <c r="E57" s="9"/>
      <c r="F57" s="9"/>
      <c r="G57" s="9"/>
    </row>
    <row r="58" spans="1:7" ht="12" customHeight="1">
      <c r="A58" s="3"/>
      <c r="B58" s="9"/>
      <c r="C58" s="9"/>
      <c r="D58" s="9"/>
      <c r="E58" s="9"/>
      <c r="F58" s="9"/>
      <c r="G58" s="9"/>
    </row>
    <row r="59" ht="12" customHeight="1"/>
  </sheetData>
  <printOptions horizontalCentered="1"/>
  <pageMargins left="0.5" right="0.5" top="0.6" bottom="0" header="0.3" footer="0"/>
  <pageSetup fitToHeight="1" fitToWidth="1" horizontalDpi="300" verticalDpi="300" orientation="portrait" scale="84"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F58"/>
  <sheetViews>
    <sheetView showGridLines="0" showZeros="0" workbookViewId="0" topLeftCell="A1">
      <selection activeCell="A1" sqref="A1"/>
    </sheetView>
  </sheetViews>
  <sheetFormatPr defaultColWidth="19.83203125" defaultRowHeight="12"/>
  <cols>
    <col min="1" max="1" width="36.83203125" style="67" customWidth="1"/>
    <col min="2" max="2" width="18.83203125" style="67" customWidth="1"/>
    <col min="3" max="4" width="19.83203125" style="67" customWidth="1"/>
    <col min="5" max="16384" width="19.83203125" style="67" customWidth="1"/>
  </cols>
  <sheetData>
    <row r="1" ht="6.75" customHeight="1">
      <c r="A1" s="65"/>
    </row>
    <row r="2" spans="1:6" ht="15.75" customHeight="1">
      <c r="A2" s="333"/>
      <c r="B2" s="475" t="s">
        <v>127</v>
      </c>
      <c r="C2" s="348"/>
      <c r="D2" s="348"/>
      <c r="E2" s="349"/>
      <c r="F2" s="350" t="s">
        <v>16</v>
      </c>
    </row>
    <row r="3" spans="1:6" ht="15.75" customHeight="1">
      <c r="A3" s="334"/>
      <c r="B3" s="476" t="str">
        <f>capyear</f>
        <v>CAPITAL FUND 2002/2003 ACTUAL</v>
      </c>
      <c r="C3" s="343"/>
      <c r="D3" s="343"/>
      <c r="E3" s="344"/>
      <c r="F3" s="344"/>
    </row>
    <row r="4" spans="2:6" ht="15.75" customHeight="1">
      <c r="B4" s="116"/>
      <c r="C4" s="116"/>
      <c r="D4" s="116"/>
      <c r="E4" s="116"/>
      <c r="F4" s="116"/>
    </row>
    <row r="5" spans="2:6" ht="15.75" customHeight="1">
      <c r="B5" s="43"/>
      <c r="C5" s="116"/>
      <c r="D5" s="116"/>
      <c r="E5" s="116"/>
      <c r="F5" s="116"/>
    </row>
    <row r="6" spans="2:6" ht="15.75" customHeight="1">
      <c r="B6" s="189" t="s">
        <v>136</v>
      </c>
      <c r="C6" s="103"/>
      <c r="D6" s="103"/>
      <c r="E6" s="103"/>
      <c r="F6" s="104"/>
    </row>
    <row r="7" spans="2:6" ht="15.75" customHeight="1">
      <c r="B7" s="53" t="s">
        <v>149</v>
      </c>
      <c r="C7" s="51"/>
      <c r="D7" s="51"/>
      <c r="E7" s="52"/>
      <c r="F7" s="131"/>
    </row>
    <row r="8" spans="1:6" ht="15.75" customHeight="1">
      <c r="A8" s="313"/>
      <c r="B8" s="347"/>
      <c r="C8" s="143"/>
      <c r="D8" s="143"/>
      <c r="E8" s="144"/>
      <c r="F8" s="119" t="s">
        <v>174</v>
      </c>
    </row>
    <row r="9" spans="1:6" ht="15.75" customHeight="1">
      <c r="A9" s="314" t="s">
        <v>112</v>
      </c>
      <c r="B9" s="56" t="s">
        <v>188</v>
      </c>
      <c r="C9" s="121" t="s">
        <v>189</v>
      </c>
      <c r="D9" s="121" t="s">
        <v>190</v>
      </c>
      <c r="E9" s="121" t="s">
        <v>191</v>
      </c>
      <c r="F9" s="121" t="s">
        <v>184</v>
      </c>
    </row>
    <row r="10" spans="1:6" ht="4.5" customHeight="1">
      <c r="A10" s="62"/>
      <c r="B10" s="122"/>
      <c r="C10" s="122"/>
      <c r="D10" s="122"/>
      <c r="E10" s="122"/>
      <c r="F10" s="122"/>
    </row>
    <row r="11" spans="1:6" ht="13.5" customHeight="1">
      <c r="A11" s="387" t="s">
        <v>327</v>
      </c>
      <c r="B11" s="308">
        <v>0</v>
      </c>
      <c r="C11" s="308">
        <v>1338800</v>
      </c>
      <c r="D11" s="308">
        <v>0</v>
      </c>
      <c r="E11" s="308">
        <v>171811</v>
      </c>
      <c r="F11" s="308">
        <v>976039</v>
      </c>
    </row>
    <row r="12" spans="1:6" ht="13.5" customHeight="1">
      <c r="A12" s="388" t="s">
        <v>328</v>
      </c>
      <c r="B12" s="309">
        <v>0</v>
      </c>
      <c r="C12" s="309">
        <v>1725022</v>
      </c>
      <c r="D12" s="309">
        <v>32501</v>
      </c>
      <c r="E12" s="309">
        <v>429365</v>
      </c>
      <c r="F12" s="309">
        <v>715054</v>
      </c>
    </row>
    <row r="13" spans="1:6" ht="13.5" customHeight="1">
      <c r="A13" s="387" t="s">
        <v>329</v>
      </c>
      <c r="B13" s="308">
        <v>0</v>
      </c>
      <c r="C13" s="308">
        <v>1840010</v>
      </c>
      <c r="D13" s="308">
        <v>0</v>
      </c>
      <c r="E13" s="308">
        <v>292942</v>
      </c>
      <c r="F13" s="308">
        <v>2550627</v>
      </c>
    </row>
    <row r="14" spans="1:6" ht="13.5" customHeight="1">
      <c r="A14" s="388" t="s">
        <v>366</v>
      </c>
      <c r="B14" s="309">
        <v>28622</v>
      </c>
      <c r="C14" s="309">
        <v>1139174</v>
      </c>
      <c r="D14" s="309">
        <v>140091</v>
      </c>
      <c r="E14" s="309">
        <v>0</v>
      </c>
      <c r="F14" s="309">
        <v>3163341</v>
      </c>
    </row>
    <row r="15" spans="1:6" ht="13.5" customHeight="1">
      <c r="A15" s="387" t="s">
        <v>330</v>
      </c>
      <c r="B15" s="308">
        <v>0</v>
      </c>
      <c r="C15" s="308">
        <v>3358554</v>
      </c>
      <c r="D15" s="308">
        <v>62112</v>
      </c>
      <c r="E15" s="308">
        <v>74714</v>
      </c>
      <c r="F15" s="308">
        <v>887550</v>
      </c>
    </row>
    <row r="16" spans="1:6" ht="13.5" customHeight="1">
      <c r="A16" s="388" t="s">
        <v>331</v>
      </c>
      <c r="B16" s="309">
        <v>0</v>
      </c>
      <c r="C16" s="309">
        <v>6262</v>
      </c>
      <c r="D16" s="309">
        <v>0</v>
      </c>
      <c r="E16" s="309">
        <v>0</v>
      </c>
      <c r="F16" s="309">
        <v>203933</v>
      </c>
    </row>
    <row r="17" spans="1:6" ht="13.5" customHeight="1">
      <c r="A17" s="387" t="s">
        <v>332</v>
      </c>
      <c r="B17" s="308">
        <v>0</v>
      </c>
      <c r="C17" s="308">
        <v>97095</v>
      </c>
      <c r="D17" s="308">
        <v>0</v>
      </c>
      <c r="E17" s="308">
        <v>249019</v>
      </c>
      <c r="F17" s="308">
        <v>1160120</v>
      </c>
    </row>
    <row r="18" spans="1:6" ht="13.5" customHeight="1">
      <c r="A18" s="388" t="s">
        <v>333</v>
      </c>
      <c r="B18" s="309">
        <v>0</v>
      </c>
      <c r="C18" s="309">
        <v>2209827</v>
      </c>
      <c r="D18" s="309">
        <v>0</v>
      </c>
      <c r="E18" s="309">
        <v>370516</v>
      </c>
      <c r="F18" s="309">
        <v>1464082</v>
      </c>
    </row>
    <row r="19" spans="1:6" ht="13.5" customHeight="1">
      <c r="A19" s="387" t="s">
        <v>334</v>
      </c>
      <c r="B19" s="308">
        <v>0</v>
      </c>
      <c r="C19" s="308">
        <v>904252</v>
      </c>
      <c r="D19" s="308">
        <v>28816</v>
      </c>
      <c r="E19" s="308">
        <v>85601</v>
      </c>
      <c r="F19" s="308">
        <v>1615518</v>
      </c>
    </row>
    <row r="20" spans="1:6" ht="13.5" customHeight="1">
      <c r="A20" s="388" t="s">
        <v>335</v>
      </c>
      <c r="B20" s="309">
        <v>112245</v>
      </c>
      <c r="C20" s="309">
        <v>3340489</v>
      </c>
      <c r="D20" s="309">
        <v>62668</v>
      </c>
      <c r="E20" s="309">
        <v>471954</v>
      </c>
      <c r="F20" s="309">
        <v>2828905</v>
      </c>
    </row>
    <row r="21" spans="1:6" ht="13.5" customHeight="1">
      <c r="A21" s="387" t="s">
        <v>336</v>
      </c>
      <c r="B21" s="308">
        <v>12750</v>
      </c>
      <c r="C21" s="308">
        <v>1429180</v>
      </c>
      <c r="D21" s="308">
        <v>0</v>
      </c>
      <c r="E21" s="308">
        <v>340285</v>
      </c>
      <c r="F21" s="308">
        <v>840171</v>
      </c>
    </row>
    <row r="22" spans="1:6" ht="13.5" customHeight="1">
      <c r="A22" s="388" t="s">
        <v>337</v>
      </c>
      <c r="B22" s="309">
        <v>0</v>
      </c>
      <c r="C22" s="309">
        <v>152435</v>
      </c>
      <c r="D22" s="309">
        <v>0</v>
      </c>
      <c r="E22" s="309">
        <v>36731</v>
      </c>
      <c r="F22" s="309">
        <v>344671</v>
      </c>
    </row>
    <row r="23" spans="1:6" ht="13.5" customHeight="1">
      <c r="A23" s="387" t="s">
        <v>338</v>
      </c>
      <c r="B23" s="308">
        <v>0</v>
      </c>
      <c r="C23" s="308">
        <v>85456</v>
      </c>
      <c r="D23" s="308">
        <v>0</v>
      </c>
      <c r="E23" s="308">
        <v>247228</v>
      </c>
      <c r="F23" s="308">
        <v>405804</v>
      </c>
    </row>
    <row r="24" spans="1:6" ht="13.5" customHeight="1">
      <c r="A24" s="388" t="s">
        <v>339</v>
      </c>
      <c r="B24" s="309">
        <v>0</v>
      </c>
      <c r="C24" s="309">
        <v>1869812</v>
      </c>
      <c r="D24" s="309">
        <v>0</v>
      </c>
      <c r="E24" s="309">
        <v>522212</v>
      </c>
      <c r="F24" s="309">
        <v>1215332</v>
      </c>
    </row>
    <row r="25" spans="1:6" ht="13.5" customHeight="1">
      <c r="A25" s="387" t="s">
        <v>340</v>
      </c>
      <c r="B25" s="308">
        <v>0</v>
      </c>
      <c r="C25" s="308">
        <v>1838592</v>
      </c>
      <c r="D25" s="308">
        <v>185236</v>
      </c>
      <c r="E25" s="308">
        <v>1330</v>
      </c>
      <c r="F25" s="308">
        <v>4624136</v>
      </c>
    </row>
    <row r="26" spans="1:6" ht="13.5" customHeight="1">
      <c r="A26" s="388" t="s">
        <v>341</v>
      </c>
      <c r="B26" s="309">
        <v>0</v>
      </c>
      <c r="C26" s="309">
        <v>1876251</v>
      </c>
      <c r="D26" s="309">
        <v>8514</v>
      </c>
      <c r="E26" s="309">
        <v>289219</v>
      </c>
      <c r="F26" s="309">
        <v>1181280.78</v>
      </c>
    </row>
    <row r="27" spans="1:6" ht="13.5" customHeight="1">
      <c r="A27" s="387" t="s">
        <v>342</v>
      </c>
      <c r="B27" s="308">
        <v>0</v>
      </c>
      <c r="C27" s="308">
        <v>725249</v>
      </c>
      <c r="D27" s="308">
        <v>0</v>
      </c>
      <c r="E27" s="308">
        <v>0</v>
      </c>
      <c r="F27" s="308">
        <v>1119153</v>
      </c>
    </row>
    <row r="28" spans="1:6" ht="13.5" customHeight="1">
      <c r="A28" s="388" t="s">
        <v>343</v>
      </c>
      <c r="B28" s="309">
        <v>0</v>
      </c>
      <c r="C28" s="309">
        <v>749726</v>
      </c>
      <c r="D28" s="309">
        <v>0</v>
      </c>
      <c r="E28" s="309">
        <v>0</v>
      </c>
      <c r="F28" s="309">
        <v>1212700</v>
      </c>
    </row>
    <row r="29" spans="1:6" ht="13.5" customHeight="1">
      <c r="A29" s="387" t="s">
        <v>344</v>
      </c>
      <c r="B29" s="308">
        <v>0</v>
      </c>
      <c r="C29" s="308">
        <v>2192142</v>
      </c>
      <c r="D29" s="308">
        <v>31164</v>
      </c>
      <c r="E29" s="308">
        <v>168209</v>
      </c>
      <c r="F29" s="308">
        <v>3876246</v>
      </c>
    </row>
    <row r="30" spans="1:6" ht="13.5" customHeight="1">
      <c r="A30" s="388" t="s">
        <v>345</v>
      </c>
      <c r="B30" s="309">
        <v>0</v>
      </c>
      <c r="C30" s="309">
        <v>555840</v>
      </c>
      <c r="D30" s="309">
        <v>0</v>
      </c>
      <c r="E30" s="309">
        <v>159048</v>
      </c>
      <c r="F30" s="309">
        <v>545142</v>
      </c>
    </row>
    <row r="31" spans="1:6" ht="13.5" customHeight="1">
      <c r="A31" s="387" t="s">
        <v>346</v>
      </c>
      <c r="B31" s="308">
        <v>0</v>
      </c>
      <c r="C31" s="308">
        <v>102370</v>
      </c>
      <c r="D31" s="308">
        <v>0</v>
      </c>
      <c r="E31" s="308">
        <v>222793</v>
      </c>
      <c r="F31" s="308">
        <v>978106</v>
      </c>
    </row>
    <row r="32" spans="1:6" ht="13.5" customHeight="1">
      <c r="A32" s="388" t="s">
        <v>347</v>
      </c>
      <c r="B32" s="309">
        <v>0</v>
      </c>
      <c r="C32" s="309">
        <v>53823</v>
      </c>
      <c r="D32" s="309">
        <v>0</v>
      </c>
      <c r="E32" s="309">
        <v>278688</v>
      </c>
      <c r="F32" s="309">
        <v>1102609</v>
      </c>
    </row>
    <row r="33" spans="1:6" ht="13.5" customHeight="1">
      <c r="A33" s="387" t="s">
        <v>348</v>
      </c>
      <c r="B33" s="308">
        <v>0</v>
      </c>
      <c r="C33" s="308">
        <v>316050</v>
      </c>
      <c r="D33" s="308">
        <v>0</v>
      </c>
      <c r="E33" s="308">
        <v>328143</v>
      </c>
      <c r="F33" s="308">
        <v>1358529</v>
      </c>
    </row>
    <row r="34" spans="1:6" ht="13.5" customHeight="1">
      <c r="A34" s="388" t="s">
        <v>349</v>
      </c>
      <c r="B34" s="309">
        <v>0</v>
      </c>
      <c r="C34" s="309">
        <v>286226</v>
      </c>
      <c r="D34" s="309">
        <v>0</v>
      </c>
      <c r="E34" s="309">
        <v>0</v>
      </c>
      <c r="F34" s="309">
        <v>1561967</v>
      </c>
    </row>
    <row r="35" spans="1:6" ht="13.5" customHeight="1">
      <c r="A35" s="387" t="s">
        <v>350</v>
      </c>
      <c r="B35" s="308">
        <v>145157</v>
      </c>
      <c r="C35" s="308">
        <v>4269464</v>
      </c>
      <c r="D35" s="308">
        <v>121311</v>
      </c>
      <c r="E35" s="308">
        <v>427561</v>
      </c>
      <c r="F35" s="308">
        <v>5612941</v>
      </c>
    </row>
    <row r="36" spans="1:6" ht="13.5" customHeight="1">
      <c r="A36" s="388" t="s">
        <v>351</v>
      </c>
      <c r="B36" s="309">
        <v>0</v>
      </c>
      <c r="C36" s="309">
        <v>988292</v>
      </c>
      <c r="D36" s="309">
        <v>0</v>
      </c>
      <c r="E36" s="309">
        <v>87383</v>
      </c>
      <c r="F36" s="309">
        <v>1011953</v>
      </c>
    </row>
    <row r="37" spans="1:6" ht="13.5" customHeight="1">
      <c r="A37" s="387" t="s">
        <v>352</v>
      </c>
      <c r="B37" s="308">
        <v>0</v>
      </c>
      <c r="C37" s="308">
        <v>447625</v>
      </c>
      <c r="D37" s="308">
        <v>4269</v>
      </c>
      <c r="E37" s="308">
        <v>325980</v>
      </c>
      <c r="F37" s="308">
        <v>2169743</v>
      </c>
    </row>
    <row r="38" spans="1:6" ht="13.5" customHeight="1">
      <c r="A38" s="388" t="s">
        <v>353</v>
      </c>
      <c r="B38" s="309">
        <v>401319</v>
      </c>
      <c r="C38" s="309">
        <v>2030983</v>
      </c>
      <c r="D38" s="309">
        <v>50227</v>
      </c>
      <c r="E38" s="309">
        <v>273671</v>
      </c>
      <c r="F38" s="309">
        <v>2950678</v>
      </c>
    </row>
    <row r="39" spans="1:6" ht="13.5" customHeight="1">
      <c r="A39" s="387" t="s">
        <v>354</v>
      </c>
      <c r="B39" s="308">
        <v>0</v>
      </c>
      <c r="C39" s="308">
        <v>1255069</v>
      </c>
      <c r="D39" s="308">
        <v>153850</v>
      </c>
      <c r="E39" s="308">
        <v>238579</v>
      </c>
      <c r="F39" s="308">
        <v>661299</v>
      </c>
    </row>
    <row r="40" spans="1:6" ht="13.5" customHeight="1">
      <c r="A40" s="388" t="s">
        <v>355</v>
      </c>
      <c r="B40" s="309">
        <v>0</v>
      </c>
      <c r="C40" s="309">
        <v>1231917</v>
      </c>
      <c r="D40" s="309">
        <v>196201</v>
      </c>
      <c r="E40" s="309">
        <v>91590</v>
      </c>
      <c r="F40" s="309">
        <v>1087662</v>
      </c>
    </row>
    <row r="41" spans="1:6" ht="13.5" customHeight="1">
      <c r="A41" s="387" t="s">
        <v>356</v>
      </c>
      <c r="B41" s="308">
        <v>0</v>
      </c>
      <c r="C41" s="308">
        <v>5978505</v>
      </c>
      <c r="D41" s="308">
        <v>109061</v>
      </c>
      <c r="E41" s="308">
        <v>578361</v>
      </c>
      <c r="F41" s="308">
        <v>2056285</v>
      </c>
    </row>
    <row r="42" spans="1:6" ht="13.5" customHeight="1">
      <c r="A42" s="388" t="s">
        <v>357</v>
      </c>
      <c r="B42" s="309">
        <v>0</v>
      </c>
      <c r="C42" s="309">
        <v>241086</v>
      </c>
      <c r="D42" s="309">
        <v>211450</v>
      </c>
      <c r="E42" s="309">
        <v>263936</v>
      </c>
      <c r="F42" s="309">
        <v>305829</v>
      </c>
    </row>
    <row r="43" spans="1:6" ht="13.5" customHeight="1">
      <c r="A43" s="387" t="s">
        <v>358</v>
      </c>
      <c r="B43" s="308">
        <v>0</v>
      </c>
      <c r="C43" s="308">
        <v>147830</v>
      </c>
      <c r="D43" s="308">
        <v>0</v>
      </c>
      <c r="E43" s="308">
        <v>153405</v>
      </c>
      <c r="F43" s="308">
        <v>457284</v>
      </c>
    </row>
    <row r="44" spans="1:6" ht="13.5" customHeight="1">
      <c r="A44" s="388" t="s">
        <v>359</v>
      </c>
      <c r="B44" s="309">
        <v>0</v>
      </c>
      <c r="C44" s="309">
        <v>9060</v>
      </c>
      <c r="D44" s="309">
        <v>0</v>
      </c>
      <c r="E44" s="309">
        <v>181378</v>
      </c>
      <c r="F44" s="309">
        <v>368350</v>
      </c>
    </row>
    <row r="45" spans="1:6" ht="13.5" customHeight="1">
      <c r="A45" s="387" t="s">
        <v>360</v>
      </c>
      <c r="B45" s="308">
        <v>0</v>
      </c>
      <c r="C45" s="308">
        <v>80778</v>
      </c>
      <c r="D45" s="308">
        <v>65701</v>
      </c>
      <c r="E45" s="308">
        <v>0</v>
      </c>
      <c r="F45" s="308">
        <v>837057</v>
      </c>
    </row>
    <row r="46" spans="1:6" ht="13.5" customHeight="1">
      <c r="A46" s="388" t="s">
        <v>361</v>
      </c>
      <c r="B46" s="309">
        <v>583673</v>
      </c>
      <c r="C46" s="309">
        <v>10155557</v>
      </c>
      <c r="D46" s="309">
        <v>0</v>
      </c>
      <c r="E46" s="309">
        <v>51785</v>
      </c>
      <c r="F46" s="309">
        <v>11594460</v>
      </c>
    </row>
    <row r="47" spans="1:6" ht="13.5" customHeight="1">
      <c r="A47" s="387" t="s">
        <v>365</v>
      </c>
      <c r="B47" s="308">
        <v>0</v>
      </c>
      <c r="C47" s="308">
        <v>0</v>
      </c>
      <c r="D47" s="308">
        <v>0</v>
      </c>
      <c r="E47" s="308">
        <v>0</v>
      </c>
      <c r="F47" s="308">
        <v>791930</v>
      </c>
    </row>
    <row r="48" spans="1:6" ht="4.5" customHeight="1">
      <c r="A48" s="389"/>
      <c r="B48" s="310"/>
      <c r="C48" s="310"/>
      <c r="D48" s="310"/>
      <c r="E48" s="310"/>
      <c r="F48" s="310"/>
    </row>
    <row r="49" spans="1:6" ht="13.5" customHeight="1">
      <c r="A49" s="383" t="s">
        <v>362</v>
      </c>
      <c r="B49" s="311">
        <f>SUM(B11:B47)</f>
        <v>1283766</v>
      </c>
      <c r="C49" s="311">
        <f>SUM(C11:C47)</f>
        <v>55028803</v>
      </c>
      <c r="D49" s="311">
        <f>SUM(D11:D47)</f>
        <v>1463172</v>
      </c>
      <c r="E49" s="311">
        <f>SUM(E11:E47)</f>
        <v>7413437</v>
      </c>
      <c r="F49" s="311">
        <f>SUM(F11:F47)</f>
        <v>65836486.78</v>
      </c>
    </row>
    <row r="50" spans="1:6" ht="4.5" customHeight="1">
      <c r="A50" s="389" t="s">
        <v>15</v>
      </c>
      <c r="B50" s="310"/>
      <c r="C50" s="310"/>
      <c r="D50" s="310"/>
      <c r="E50" s="310"/>
      <c r="F50" s="310"/>
    </row>
    <row r="51" spans="1:6" ht="13.5" customHeight="1">
      <c r="A51" s="388" t="s">
        <v>363</v>
      </c>
      <c r="B51" s="309">
        <v>0</v>
      </c>
      <c r="C51" s="309">
        <v>0</v>
      </c>
      <c r="D51" s="309">
        <v>0</v>
      </c>
      <c r="E51" s="309">
        <v>0</v>
      </c>
      <c r="F51" s="309">
        <v>0</v>
      </c>
    </row>
    <row r="52" spans="1:6" ht="13.5" customHeight="1">
      <c r="A52" s="387" t="s">
        <v>364</v>
      </c>
      <c r="B52" s="308">
        <v>0</v>
      </c>
      <c r="C52" s="308">
        <v>243837</v>
      </c>
      <c r="D52" s="308">
        <v>0</v>
      </c>
      <c r="E52" s="308">
        <v>0</v>
      </c>
      <c r="F52" s="308">
        <v>69960</v>
      </c>
    </row>
    <row r="53" ht="49.5" customHeight="1"/>
    <row r="54" spans="1:6" ht="12" customHeight="1">
      <c r="A54" s="3"/>
      <c r="B54" s="9"/>
      <c r="C54" s="9"/>
      <c r="D54" s="9"/>
      <c r="E54" s="9"/>
      <c r="F54" s="9"/>
    </row>
    <row r="55" spans="1:6" ht="12" customHeight="1">
      <c r="A55" s="3"/>
      <c r="B55" s="9"/>
      <c r="C55" s="9"/>
      <c r="D55" s="9"/>
      <c r="E55" s="9"/>
      <c r="F55" s="9"/>
    </row>
    <row r="56" spans="1:6" ht="12" customHeight="1">
      <c r="A56" s="3"/>
      <c r="B56" s="9"/>
      <c r="C56" s="9"/>
      <c r="D56" s="9"/>
      <c r="E56" s="9"/>
      <c r="F56" s="9"/>
    </row>
    <row r="57" spans="1:6" ht="12" customHeight="1">
      <c r="A57" s="3"/>
      <c r="B57" s="9"/>
      <c r="C57" s="9"/>
      <c r="D57" s="9"/>
      <c r="E57" s="9"/>
      <c r="F57" s="9"/>
    </row>
    <row r="58" spans="1:6" ht="12" customHeight="1">
      <c r="A58" s="3"/>
      <c r="B58" s="9"/>
      <c r="C58" s="9"/>
      <c r="D58" s="9"/>
      <c r="E58" s="9"/>
      <c r="F58" s="9"/>
    </row>
    <row r="59"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E58"/>
  <sheetViews>
    <sheetView showGridLines="0" showZeros="0" workbookViewId="0" topLeftCell="A1">
      <selection activeCell="A1" sqref="A1"/>
    </sheetView>
  </sheetViews>
  <sheetFormatPr defaultColWidth="19.83203125" defaultRowHeight="12"/>
  <cols>
    <col min="1" max="1" width="36.83203125" style="67" customWidth="1"/>
    <col min="2" max="4" width="20.83203125" style="67" customWidth="1"/>
    <col min="5" max="5" width="35.83203125" style="67" customWidth="1"/>
    <col min="6" max="16384" width="19.83203125" style="67" customWidth="1"/>
  </cols>
  <sheetData>
    <row r="1" ht="6.75" customHeight="1">
      <c r="A1" s="65"/>
    </row>
    <row r="2" spans="1:5" ht="15.75" customHeight="1">
      <c r="A2" s="333"/>
      <c r="B2" s="475" t="s">
        <v>127</v>
      </c>
      <c r="C2" s="348"/>
      <c r="D2" s="348"/>
      <c r="E2" s="445" t="s">
        <v>17</v>
      </c>
    </row>
    <row r="3" spans="1:5" ht="15.75" customHeight="1">
      <c r="A3" s="334"/>
      <c r="B3" s="476" t="str">
        <f>capyear</f>
        <v>CAPITAL FUND 2002/2003 ACTUAL</v>
      </c>
      <c r="C3" s="343"/>
      <c r="D3" s="343"/>
      <c r="E3" s="344"/>
    </row>
    <row r="4" spans="2:5" ht="15.75" customHeight="1">
      <c r="B4" s="116"/>
      <c r="D4" s="116"/>
      <c r="E4" s="116"/>
    </row>
    <row r="5" spans="2:5" ht="15.75" customHeight="1">
      <c r="B5" s="43"/>
      <c r="C5" s="116"/>
      <c r="D5" s="116"/>
      <c r="E5" s="116"/>
    </row>
    <row r="6" spans="2:5" ht="15.75" customHeight="1">
      <c r="B6" s="189" t="s">
        <v>137</v>
      </c>
      <c r="C6" s="103"/>
      <c r="D6" s="104"/>
      <c r="E6" s="116"/>
    </row>
    <row r="7" spans="2:5" ht="15.75" customHeight="1">
      <c r="B7" s="117"/>
      <c r="C7" s="117" t="s">
        <v>150</v>
      </c>
      <c r="D7" s="131"/>
      <c r="E7" s="116"/>
    </row>
    <row r="8" spans="1:5" ht="15.75" customHeight="1">
      <c r="A8" s="313"/>
      <c r="B8" s="144" t="s">
        <v>171</v>
      </c>
      <c r="C8" s="119" t="s">
        <v>175</v>
      </c>
      <c r="D8" s="141"/>
      <c r="E8" s="116"/>
    </row>
    <row r="9" spans="1:5" ht="15.75" customHeight="1">
      <c r="A9" s="314" t="s">
        <v>112</v>
      </c>
      <c r="B9" s="56" t="s">
        <v>125</v>
      </c>
      <c r="C9" s="121" t="s">
        <v>176</v>
      </c>
      <c r="D9" s="121" t="s">
        <v>81</v>
      </c>
      <c r="E9" s="116"/>
    </row>
    <row r="10" spans="1:5" ht="4.5" customHeight="1">
      <c r="A10" s="62"/>
      <c r="B10" s="122"/>
      <c r="C10" s="122"/>
      <c r="D10" s="122"/>
      <c r="E10" s="65"/>
    </row>
    <row r="11" spans="1:4" ht="13.5" customHeight="1">
      <c r="A11" s="387" t="s">
        <v>327</v>
      </c>
      <c r="B11" s="308">
        <v>0</v>
      </c>
      <c r="C11" s="308">
        <v>72011</v>
      </c>
      <c r="D11" s="308">
        <f>SUM('- 49 -'!B11:F11,B11:C11)</f>
        <v>2558661</v>
      </c>
    </row>
    <row r="12" spans="1:4" ht="13.5" customHeight="1">
      <c r="A12" s="388" t="s">
        <v>328</v>
      </c>
      <c r="B12" s="309">
        <v>13439</v>
      </c>
      <c r="C12" s="309">
        <v>875504</v>
      </c>
      <c r="D12" s="309">
        <f>SUM('- 49 -'!B12:F12,B12:C12)</f>
        <v>3790885</v>
      </c>
    </row>
    <row r="13" spans="1:4" ht="13.5" customHeight="1">
      <c r="A13" s="387" t="s">
        <v>329</v>
      </c>
      <c r="B13" s="308">
        <v>0</v>
      </c>
      <c r="C13" s="308">
        <v>2265095</v>
      </c>
      <c r="D13" s="308">
        <f>SUM('- 49 -'!B13:F13,B13:C13)</f>
        <v>6948674</v>
      </c>
    </row>
    <row r="14" spans="1:4" ht="13.5" customHeight="1">
      <c r="A14" s="388" t="s">
        <v>366</v>
      </c>
      <c r="B14" s="309">
        <v>0</v>
      </c>
      <c r="C14" s="309">
        <v>1939219</v>
      </c>
      <c r="D14" s="309">
        <f>SUM('- 49 -'!B14:F14,B14:C14)</f>
        <v>6410447</v>
      </c>
    </row>
    <row r="15" spans="1:4" ht="13.5" customHeight="1">
      <c r="A15" s="387" t="s">
        <v>330</v>
      </c>
      <c r="B15" s="308">
        <v>0</v>
      </c>
      <c r="C15" s="308">
        <v>1050593</v>
      </c>
      <c r="D15" s="308">
        <f>SUM('- 49 -'!B15:F15,B15:C15)</f>
        <v>5433523</v>
      </c>
    </row>
    <row r="16" spans="1:4" ht="13.5" customHeight="1">
      <c r="A16" s="388" t="s">
        <v>331</v>
      </c>
      <c r="B16" s="309">
        <v>1879</v>
      </c>
      <c r="C16" s="309">
        <v>66103</v>
      </c>
      <c r="D16" s="309">
        <f>SUM('- 49 -'!B16:F16,B16:C16)</f>
        <v>278177</v>
      </c>
    </row>
    <row r="17" spans="1:4" ht="13.5" customHeight="1">
      <c r="A17" s="387" t="s">
        <v>332</v>
      </c>
      <c r="B17" s="308">
        <v>7100</v>
      </c>
      <c r="C17" s="308">
        <v>356788</v>
      </c>
      <c r="D17" s="308">
        <f>SUM('- 49 -'!B17:F17,B17:C17)</f>
        <v>1870122</v>
      </c>
    </row>
    <row r="18" spans="1:4" ht="13.5" customHeight="1">
      <c r="A18" s="388" t="s">
        <v>333</v>
      </c>
      <c r="B18" s="309">
        <v>0</v>
      </c>
      <c r="C18" s="309">
        <v>3685853</v>
      </c>
      <c r="D18" s="309">
        <f>SUM('- 49 -'!B18:F18,B18:C18)</f>
        <v>7730278</v>
      </c>
    </row>
    <row r="19" spans="1:4" ht="13.5" customHeight="1">
      <c r="A19" s="387" t="s">
        <v>334</v>
      </c>
      <c r="B19" s="308">
        <v>0</v>
      </c>
      <c r="C19" s="308">
        <v>335955</v>
      </c>
      <c r="D19" s="308">
        <f>SUM('- 49 -'!B19:F19,B19:C19)</f>
        <v>2970142</v>
      </c>
    </row>
    <row r="20" spans="1:4" ht="13.5" customHeight="1">
      <c r="A20" s="388" t="s">
        <v>335</v>
      </c>
      <c r="B20" s="309">
        <v>1000</v>
      </c>
      <c r="C20" s="309">
        <v>703661</v>
      </c>
      <c r="D20" s="309">
        <f>SUM('- 49 -'!B20:F20,B20:C20)</f>
        <v>7520922</v>
      </c>
    </row>
    <row r="21" spans="1:4" ht="13.5" customHeight="1">
      <c r="A21" s="387" t="s">
        <v>336</v>
      </c>
      <c r="B21" s="308">
        <v>108000</v>
      </c>
      <c r="C21" s="308">
        <v>616432</v>
      </c>
      <c r="D21" s="308">
        <f>SUM('- 49 -'!B21:F21,B21:C21)</f>
        <v>3346818</v>
      </c>
    </row>
    <row r="22" spans="1:4" ht="13.5" customHeight="1">
      <c r="A22" s="388" t="s">
        <v>337</v>
      </c>
      <c r="B22" s="309">
        <v>867</v>
      </c>
      <c r="C22" s="309">
        <v>140771</v>
      </c>
      <c r="D22" s="309">
        <f>SUM('- 49 -'!B22:F22,B22:C22)</f>
        <v>675475</v>
      </c>
    </row>
    <row r="23" spans="1:4" ht="13.5" customHeight="1">
      <c r="A23" s="387" t="s">
        <v>338</v>
      </c>
      <c r="B23" s="308">
        <v>0</v>
      </c>
      <c r="C23" s="308">
        <v>35336</v>
      </c>
      <c r="D23" s="308">
        <f>SUM('- 49 -'!B23:F23,B23:C23)</f>
        <v>773824</v>
      </c>
    </row>
    <row r="24" spans="1:4" ht="13.5" customHeight="1">
      <c r="A24" s="388" t="s">
        <v>339</v>
      </c>
      <c r="B24" s="309">
        <v>0</v>
      </c>
      <c r="C24" s="309">
        <v>207984</v>
      </c>
      <c r="D24" s="309">
        <f>SUM('- 49 -'!B24:F24,B24:C24)</f>
        <v>3815340</v>
      </c>
    </row>
    <row r="25" spans="1:4" ht="13.5" customHeight="1">
      <c r="A25" s="387" t="s">
        <v>340</v>
      </c>
      <c r="B25" s="308">
        <v>34600</v>
      </c>
      <c r="C25" s="308">
        <v>2652792</v>
      </c>
      <c r="D25" s="308">
        <f>SUM('- 49 -'!B25:F25,B25:C25)</f>
        <v>9336686</v>
      </c>
    </row>
    <row r="26" spans="1:4" ht="13.5" customHeight="1">
      <c r="A26" s="388" t="s">
        <v>341</v>
      </c>
      <c r="B26" s="309">
        <v>92518.25</v>
      </c>
      <c r="C26" s="309">
        <v>70665</v>
      </c>
      <c r="D26" s="309">
        <f>SUM('- 49 -'!B26:F26,B26:C26)</f>
        <v>3518448.0300000003</v>
      </c>
    </row>
    <row r="27" spans="1:4" ht="13.5" customHeight="1">
      <c r="A27" s="387" t="s">
        <v>342</v>
      </c>
      <c r="B27" s="308">
        <v>0</v>
      </c>
      <c r="C27" s="308">
        <v>260585</v>
      </c>
      <c r="D27" s="308">
        <f>SUM('- 49 -'!B27:F27,B27:C27)</f>
        <v>2104987</v>
      </c>
    </row>
    <row r="28" spans="1:4" ht="13.5" customHeight="1">
      <c r="A28" s="388" t="s">
        <v>343</v>
      </c>
      <c r="B28" s="309">
        <v>14333</v>
      </c>
      <c r="C28" s="309">
        <v>658463</v>
      </c>
      <c r="D28" s="309">
        <f>SUM('- 49 -'!B28:F28,B28:C28)</f>
        <v>2635222</v>
      </c>
    </row>
    <row r="29" spans="1:4" ht="13.5" customHeight="1">
      <c r="A29" s="387" t="s">
        <v>344</v>
      </c>
      <c r="B29" s="308">
        <v>0</v>
      </c>
      <c r="C29" s="308">
        <v>821547</v>
      </c>
      <c r="D29" s="308">
        <f>SUM('- 49 -'!B29:F29,B29:C29)</f>
        <v>7089308</v>
      </c>
    </row>
    <row r="30" spans="1:4" ht="13.5" customHeight="1">
      <c r="A30" s="388" t="s">
        <v>345</v>
      </c>
      <c r="B30" s="309">
        <v>0</v>
      </c>
      <c r="C30" s="309">
        <v>395777</v>
      </c>
      <c r="D30" s="309">
        <f>SUM('- 49 -'!B30:F30,B30:C30)</f>
        <v>1655807</v>
      </c>
    </row>
    <row r="31" spans="1:4" ht="13.5" customHeight="1">
      <c r="A31" s="387" t="s">
        <v>346</v>
      </c>
      <c r="B31" s="308">
        <v>0</v>
      </c>
      <c r="C31" s="308">
        <v>156177</v>
      </c>
      <c r="D31" s="308">
        <f>SUM('- 49 -'!B31:F31,B31:C31)</f>
        <v>1459446</v>
      </c>
    </row>
    <row r="32" spans="1:4" ht="13.5" customHeight="1">
      <c r="A32" s="388" t="s">
        <v>347</v>
      </c>
      <c r="B32" s="309">
        <v>37</v>
      </c>
      <c r="C32" s="309">
        <v>159672</v>
      </c>
      <c r="D32" s="309">
        <f>SUM('- 49 -'!B32:F32,B32:C32)</f>
        <v>1594829</v>
      </c>
    </row>
    <row r="33" spans="1:4" ht="13.5" customHeight="1">
      <c r="A33" s="387" t="s">
        <v>348</v>
      </c>
      <c r="B33" s="308">
        <v>1170</v>
      </c>
      <c r="C33" s="308">
        <v>233852</v>
      </c>
      <c r="D33" s="308">
        <f>SUM('- 49 -'!B33:F33,B33:C33)</f>
        <v>2237744</v>
      </c>
    </row>
    <row r="34" spans="1:4" ht="13.5" customHeight="1">
      <c r="A34" s="388" t="s">
        <v>349</v>
      </c>
      <c r="B34" s="309">
        <v>20177</v>
      </c>
      <c r="C34" s="309">
        <v>595010</v>
      </c>
      <c r="D34" s="309">
        <f>SUM('- 49 -'!B34:F34,B34:C34)</f>
        <v>2463380</v>
      </c>
    </row>
    <row r="35" spans="1:4" ht="13.5" customHeight="1">
      <c r="A35" s="387" t="s">
        <v>350</v>
      </c>
      <c r="B35" s="308">
        <v>22143</v>
      </c>
      <c r="C35" s="308">
        <v>2432110</v>
      </c>
      <c r="D35" s="308">
        <f>SUM('- 49 -'!B35:F35,B35:C35)</f>
        <v>13030687</v>
      </c>
    </row>
    <row r="36" spans="1:4" ht="13.5" customHeight="1">
      <c r="A36" s="388" t="s">
        <v>351</v>
      </c>
      <c r="B36" s="309">
        <v>0</v>
      </c>
      <c r="C36" s="309">
        <v>487955</v>
      </c>
      <c r="D36" s="309">
        <f>SUM('- 49 -'!B36:F36,B36:C36)</f>
        <v>2575583</v>
      </c>
    </row>
    <row r="37" spans="1:4" ht="13.5" customHeight="1">
      <c r="A37" s="387" t="s">
        <v>352</v>
      </c>
      <c r="B37" s="308">
        <v>0</v>
      </c>
      <c r="C37" s="308">
        <v>138058</v>
      </c>
      <c r="D37" s="308">
        <f>SUM('- 49 -'!B37:F37,B37:C37)</f>
        <v>3085675</v>
      </c>
    </row>
    <row r="38" spans="1:4" ht="13.5" customHeight="1">
      <c r="A38" s="388" t="s">
        <v>353</v>
      </c>
      <c r="B38" s="309">
        <v>0</v>
      </c>
      <c r="C38" s="309">
        <v>2065149</v>
      </c>
      <c r="D38" s="309">
        <f>SUM('- 49 -'!B38:F38,B38:C38)</f>
        <v>7772027</v>
      </c>
    </row>
    <row r="39" spans="1:4" ht="13.5" customHeight="1">
      <c r="A39" s="387" t="s">
        <v>354</v>
      </c>
      <c r="B39" s="308">
        <v>0</v>
      </c>
      <c r="C39" s="308">
        <v>128550</v>
      </c>
      <c r="D39" s="308">
        <f>SUM('- 49 -'!B39:F39,B39:C39)</f>
        <v>2437347</v>
      </c>
    </row>
    <row r="40" spans="1:4" ht="13.5" customHeight="1">
      <c r="A40" s="388" t="s">
        <v>355</v>
      </c>
      <c r="B40" s="309">
        <v>58221</v>
      </c>
      <c r="C40" s="309">
        <v>1596690</v>
      </c>
      <c r="D40" s="309">
        <f>SUM('- 49 -'!B40:F40,B40:C40)</f>
        <v>4262281</v>
      </c>
    </row>
    <row r="41" spans="1:4" ht="13.5" customHeight="1">
      <c r="A41" s="387" t="s">
        <v>356</v>
      </c>
      <c r="B41" s="308">
        <v>11071</v>
      </c>
      <c r="C41" s="308">
        <v>2766602</v>
      </c>
      <c r="D41" s="308">
        <f>SUM('- 49 -'!B41:F41,B41:C41)</f>
        <v>11499885</v>
      </c>
    </row>
    <row r="42" spans="1:4" ht="13.5" customHeight="1">
      <c r="A42" s="388" t="s">
        <v>357</v>
      </c>
      <c r="B42" s="309">
        <v>0</v>
      </c>
      <c r="C42" s="309">
        <v>231310</v>
      </c>
      <c r="D42" s="309">
        <f>SUM('- 49 -'!B42:F42,B42:C42)</f>
        <v>1253611</v>
      </c>
    </row>
    <row r="43" spans="1:4" ht="13.5" customHeight="1">
      <c r="A43" s="387" t="s">
        <v>358</v>
      </c>
      <c r="B43" s="308">
        <v>0</v>
      </c>
      <c r="C43" s="308">
        <v>175351</v>
      </c>
      <c r="D43" s="308">
        <f>SUM('- 49 -'!B43:F43,B43:C43)</f>
        <v>933870</v>
      </c>
    </row>
    <row r="44" spans="1:4" ht="13.5" customHeight="1">
      <c r="A44" s="388" t="s">
        <v>359</v>
      </c>
      <c r="B44" s="309">
        <v>0</v>
      </c>
      <c r="C44" s="309">
        <v>288274</v>
      </c>
      <c r="D44" s="309">
        <f>SUM('- 49 -'!B44:F44,B44:C44)</f>
        <v>847062</v>
      </c>
    </row>
    <row r="45" spans="1:4" ht="13.5" customHeight="1">
      <c r="A45" s="387" t="s">
        <v>360</v>
      </c>
      <c r="B45" s="308">
        <v>10712</v>
      </c>
      <c r="C45" s="308">
        <v>25508</v>
      </c>
      <c r="D45" s="308">
        <f>SUM('- 49 -'!B45:F45,B45:C45)</f>
        <v>1019756</v>
      </c>
    </row>
    <row r="46" spans="1:4" ht="13.5" customHeight="1">
      <c r="A46" s="388" t="s">
        <v>361</v>
      </c>
      <c r="B46" s="309">
        <v>0</v>
      </c>
      <c r="C46" s="309">
        <v>5007811</v>
      </c>
      <c r="D46" s="309">
        <f>SUM('- 49 -'!B46:F46,B46:C46)</f>
        <v>27393286</v>
      </c>
    </row>
    <row r="47" spans="1:4" ht="13.5" customHeight="1">
      <c r="A47" s="387" t="s">
        <v>365</v>
      </c>
      <c r="B47" s="308">
        <v>0</v>
      </c>
      <c r="C47" s="308">
        <v>0</v>
      </c>
      <c r="D47" s="308">
        <f>SUM('- 49 -'!B47:F47,B47:C47)</f>
        <v>791930</v>
      </c>
    </row>
    <row r="48" spans="1:4" ht="4.5" customHeight="1">
      <c r="A48" s="389"/>
      <c r="B48" s="310"/>
      <c r="C48" s="310"/>
      <c r="D48" s="310"/>
    </row>
    <row r="49" spans="1:4" ht="13.5" customHeight="1">
      <c r="A49" s="383" t="s">
        <v>362</v>
      </c>
      <c r="B49" s="311">
        <f>SUM(B11:B47)</f>
        <v>397267.25</v>
      </c>
      <c r="C49" s="311">
        <f>SUM(C11:C47)</f>
        <v>33699213</v>
      </c>
      <c r="D49" s="311">
        <f>SUM(D11:D47)</f>
        <v>165122145.03</v>
      </c>
    </row>
    <row r="50" spans="1:4" ht="4.5" customHeight="1">
      <c r="A50" s="389" t="s">
        <v>15</v>
      </c>
      <c r="B50" s="310"/>
      <c r="C50" s="310"/>
      <c r="D50" s="310"/>
    </row>
    <row r="51" spans="1:4" ht="13.5" customHeight="1">
      <c r="A51" s="388" t="s">
        <v>363</v>
      </c>
      <c r="B51" s="309">
        <v>0</v>
      </c>
      <c r="C51" s="309">
        <v>0</v>
      </c>
      <c r="D51" s="309">
        <f>SUM('- 49 -'!B51:F51,B51:C51)</f>
        <v>0</v>
      </c>
    </row>
    <row r="52" spans="1:4" ht="13.5" customHeight="1">
      <c r="A52" s="387" t="s">
        <v>364</v>
      </c>
      <c r="B52" s="308">
        <v>0</v>
      </c>
      <c r="C52" s="308">
        <v>69849</v>
      </c>
      <c r="D52" s="308">
        <f>SUM('- 49 -'!B52:F52,B52:C52)</f>
        <v>383646</v>
      </c>
    </row>
    <row r="53" ht="49.5" customHeight="1"/>
    <row r="54" spans="1:5" ht="12" customHeight="1">
      <c r="A54" s="3"/>
      <c r="B54" s="9"/>
      <c r="C54" s="9"/>
      <c r="D54" s="9"/>
      <c r="E54" s="9"/>
    </row>
    <row r="55" spans="1:5" ht="12" customHeight="1">
      <c r="A55" s="3"/>
      <c r="B55" s="9"/>
      <c r="C55" s="9"/>
      <c r="D55" s="9"/>
      <c r="E55" s="9"/>
    </row>
    <row r="56" spans="1:5" ht="12" customHeight="1">
      <c r="A56" s="3"/>
      <c r="B56" s="9"/>
      <c r="C56" s="9"/>
      <c r="D56" s="9"/>
      <c r="E56" s="9"/>
    </row>
    <row r="57" spans="1:5" ht="12" customHeight="1">
      <c r="A57" s="3"/>
      <c r="B57" s="9"/>
      <c r="C57" s="9"/>
      <c r="D57" s="9"/>
      <c r="E57" s="9"/>
    </row>
    <row r="58" spans="1:5" ht="12" customHeight="1">
      <c r="A58" s="3"/>
      <c r="B58" s="9"/>
      <c r="C58" s="9"/>
      <c r="D58" s="9"/>
      <c r="E58" s="9"/>
    </row>
    <row r="59"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2">
    <pageSetUpPr fitToPage="1"/>
  </sheetPr>
  <dimension ref="A1:H75"/>
  <sheetViews>
    <sheetView showGridLines="0" showZeros="0" workbookViewId="0" topLeftCell="A1">
      <selection activeCell="A1" sqref="A1"/>
    </sheetView>
  </sheetViews>
  <sheetFormatPr defaultColWidth="15.83203125" defaultRowHeight="12"/>
  <cols>
    <col min="1" max="1" width="5.83203125" style="67" customWidth="1"/>
    <col min="2" max="2" width="30.83203125" style="67" customWidth="1"/>
    <col min="3" max="3" width="17.83203125" style="67" customWidth="1"/>
    <col min="4" max="4" width="14.83203125" style="67" customWidth="1"/>
    <col min="5" max="5" width="16.83203125" style="67" customWidth="1"/>
    <col min="6" max="6" width="17.83203125" style="67" customWidth="1"/>
    <col min="7" max="7" width="14.83203125" style="67" customWidth="1"/>
    <col min="8" max="16384" width="15.83203125" style="67" customWidth="1"/>
  </cols>
  <sheetData>
    <row r="1" spans="1:2" ht="6.75" customHeight="1">
      <c r="A1" s="9"/>
      <c r="B1" s="65"/>
    </row>
    <row r="2" spans="1:8" ht="12.75" customHeight="1">
      <c r="A2" s="5"/>
      <c r="B2" s="68"/>
      <c r="C2" s="516" t="s">
        <v>128</v>
      </c>
      <c r="D2" s="345"/>
      <c r="E2" s="345"/>
      <c r="F2" s="345"/>
      <c r="G2" s="346"/>
      <c r="H2" s="346"/>
    </row>
    <row r="3" spans="1:8" ht="15" customHeight="1">
      <c r="A3" s="515"/>
      <c r="B3" s="515"/>
      <c r="C3" s="552" t="s">
        <v>507</v>
      </c>
      <c r="D3" s="485"/>
      <c r="E3" s="486"/>
      <c r="F3" s="487"/>
      <c r="G3" s="259"/>
      <c r="H3" s="259"/>
    </row>
    <row r="4" spans="1:8" ht="3" customHeight="1">
      <c r="A4" s="285"/>
      <c r="B4" s="285"/>
      <c r="C4" s="116"/>
      <c r="D4" s="116"/>
      <c r="E4" s="125"/>
      <c r="F4" s="125"/>
      <c r="G4" s="125"/>
      <c r="H4" s="116"/>
    </row>
    <row r="5" spans="1:8" ht="3" customHeight="1">
      <c r="A5" s="488"/>
      <c r="B5" s="67">
        <f>REPLACE(B4,5,5,"")</f>
      </c>
      <c r="C5" s="43"/>
      <c r="D5" s="116"/>
      <c r="E5" s="116"/>
      <c r="F5" s="116"/>
      <c r="G5" s="116"/>
      <c r="H5" s="116"/>
    </row>
    <row r="6" spans="1:8" ht="15" customHeight="1">
      <c r="A6" s="488"/>
      <c r="C6" s="126" t="s">
        <v>138</v>
      </c>
      <c r="D6" s="127"/>
      <c r="E6" s="127"/>
      <c r="F6" s="126" t="s">
        <v>506</v>
      </c>
      <c r="G6" s="127"/>
      <c r="H6" s="128"/>
    </row>
    <row r="7" spans="1:8" ht="12" customHeight="1">
      <c r="A7" s="9"/>
      <c r="C7" s="129" t="s">
        <v>151</v>
      </c>
      <c r="D7" s="130"/>
      <c r="E7" s="117"/>
      <c r="F7" s="117" t="s">
        <v>151</v>
      </c>
      <c r="G7" s="118"/>
      <c r="H7" s="117"/>
    </row>
    <row r="8" spans="1:8" ht="12" customHeight="1">
      <c r="A8" s="489"/>
      <c r="B8" s="35"/>
      <c r="C8" s="132" t="s">
        <v>177</v>
      </c>
      <c r="D8" s="138"/>
      <c r="E8" s="119"/>
      <c r="F8" s="119" t="s">
        <v>177</v>
      </c>
      <c r="G8" s="120"/>
      <c r="H8" s="119"/>
    </row>
    <row r="9" spans="1:8" ht="12" customHeight="1">
      <c r="A9" s="490" t="s">
        <v>442</v>
      </c>
      <c r="B9" s="491" t="s">
        <v>112</v>
      </c>
      <c r="C9" s="135" t="s">
        <v>192</v>
      </c>
      <c r="D9" s="135" t="s">
        <v>193</v>
      </c>
      <c r="E9" s="121" t="s">
        <v>81</v>
      </c>
      <c r="F9" s="121" t="s">
        <v>192</v>
      </c>
      <c r="G9" s="121" t="s">
        <v>69</v>
      </c>
      <c r="H9" s="121" t="s">
        <v>81</v>
      </c>
    </row>
    <row r="10" spans="1:8" ht="3.75" customHeight="1">
      <c r="A10" s="62"/>
      <c r="B10" s="62"/>
      <c r="C10" s="122"/>
      <c r="D10" s="122"/>
      <c r="E10" s="122"/>
      <c r="H10" s="122"/>
    </row>
    <row r="11" spans="1:8" ht="12" customHeight="1">
      <c r="A11" s="497">
        <v>1</v>
      </c>
      <c r="B11" s="7" t="s">
        <v>443</v>
      </c>
      <c r="C11" s="7">
        <f>'- 53 -'!C11</f>
        <v>1971764720</v>
      </c>
      <c r="D11" s="7">
        <f>'- 53 -'!E11</f>
        <v>2065233120</v>
      </c>
      <c r="E11" s="7">
        <f aca="true" t="shared" si="0" ref="E11:E42">SUM(C11:D11)</f>
        <v>4036997840</v>
      </c>
      <c r="F11" s="7">
        <v>13092517.7408</v>
      </c>
      <c r="G11" s="7">
        <v>34076346.480000004</v>
      </c>
      <c r="H11" s="7">
        <f aca="true" t="shared" si="1" ref="H11:H42">SUM(F11:G11)</f>
        <v>47168864.220800005</v>
      </c>
    </row>
    <row r="12" spans="1:8" ht="12" customHeight="1">
      <c r="A12" s="500">
        <v>2</v>
      </c>
      <c r="B12" s="8" t="s">
        <v>444</v>
      </c>
      <c r="C12" s="8">
        <f>'- 53 -'!C12</f>
        <v>901225270</v>
      </c>
      <c r="D12" s="8">
        <f>'- 53 -'!E12</f>
        <v>662160960</v>
      </c>
      <c r="E12" s="8">
        <f t="shared" si="0"/>
        <v>1563386230</v>
      </c>
      <c r="F12" s="8">
        <v>5984135.7928</v>
      </c>
      <c r="G12" s="8">
        <v>10925655.84</v>
      </c>
      <c r="H12" s="8">
        <f t="shared" si="1"/>
        <v>16909791.632799998</v>
      </c>
    </row>
    <row r="13" spans="1:8" ht="12" customHeight="1">
      <c r="A13" s="497">
        <v>3</v>
      </c>
      <c r="B13" s="7" t="s">
        <v>445</v>
      </c>
      <c r="C13" s="7">
        <f>'- 53 -'!C13</f>
        <v>879268290</v>
      </c>
      <c r="D13" s="7">
        <f>'- 53 -'!E13</f>
        <v>128544520</v>
      </c>
      <c r="E13" s="7">
        <f t="shared" si="0"/>
        <v>1007812810</v>
      </c>
      <c r="F13" s="7">
        <v>5838341.4456</v>
      </c>
      <c r="G13" s="7">
        <v>2120984.58</v>
      </c>
      <c r="H13" s="7">
        <f t="shared" si="1"/>
        <v>7959326.0256</v>
      </c>
    </row>
    <row r="14" spans="1:8" ht="12" customHeight="1">
      <c r="A14" s="500">
        <v>4</v>
      </c>
      <c r="B14" s="8" t="s">
        <v>446</v>
      </c>
      <c r="C14" s="8">
        <f>'- 53 -'!C14</f>
        <v>669344160</v>
      </c>
      <c r="D14" s="8">
        <f>'- 53 -'!E14</f>
        <v>298639880</v>
      </c>
      <c r="E14" s="8">
        <f t="shared" si="0"/>
        <v>967984040</v>
      </c>
      <c r="F14" s="8">
        <v>4444445.2224</v>
      </c>
      <c r="G14" s="8">
        <v>4927558.02</v>
      </c>
      <c r="H14" s="8">
        <f t="shared" si="1"/>
        <v>9372003.2424</v>
      </c>
    </row>
    <row r="15" spans="1:8" ht="12" customHeight="1">
      <c r="A15" s="497">
        <v>5</v>
      </c>
      <c r="B15" s="7" t="s">
        <v>447</v>
      </c>
      <c r="C15" s="7">
        <f>'- 53 -'!C15</f>
        <v>733391850</v>
      </c>
      <c r="D15" s="7">
        <f>'- 53 -'!E15</f>
        <v>436452210</v>
      </c>
      <c r="E15" s="7">
        <f t="shared" si="0"/>
        <v>1169844060</v>
      </c>
      <c r="F15" s="7">
        <v>4869721.884</v>
      </c>
      <c r="G15" s="7">
        <v>7201461.465000001</v>
      </c>
      <c r="H15" s="7">
        <f t="shared" si="1"/>
        <v>12071183.349</v>
      </c>
    </row>
    <row r="16" spans="1:8" ht="12" customHeight="1">
      <c r="A16" s="500">
        <v>6</v>
      </c>
      <c r="B16" s="8" t="s">
        <v>448</v>
      </c>
      <c r="C16" s="8">
        <f>'- 53 -'!C16</f>
        <v>894336340</v>
      </c>
      <c r="D16" s="8">
        <f>'- 53 -'!E16</f>
        <v>200258230</v>
      </c>
      <c r="E16" s="8">
        <f t="shared" si="0"/>
        <v>1094594570</v>
      </c>
      <c r="F16" s="8">
        <v>5938393.2976</v>
      </c>
      <c r="G16" s="8">
        <v>3304260.795</v>
      </c>
      <c r="H16" s="8">
        <f t="shared" si="1"/>
        <v>9242654.0926</v>
      </c>
    </row>
    <row r="17" spans="1:8" ht="12" customHeight="1">
      <c r="A17" s="497">
        <v>9</v>
      </c>
      <c r="B17" s="7" t="s">
        <v>449</v>
      </c>
      <c r="C17" s="7">
        <f>'- 53 -'!C17</f>
        <v>1164351900</v>
      </c>
      <c r="D17" s="7">
        <f>'- 53 -'!E17</f>
        <v>176203450</v>
      </c>
      <c r="E17" s="7">
        <f t="shared" si="0"/>
        <v>1340555350</v>
      </c>
      <c r="F17" s="7">
        <v>7731296.616</v>
      </c>
      <c r="G17" s="7">
        <v>2907356.9250000003</v>
      </c>
      <c r="H17" s="7">
        <f t="shared" si="1"/>
        <v>10638653.541000001</v>
      </c>
    </row>
    <row r="18" spans="1:8" ht="12" customHeight="1">
      <c r="A18" s="500">
        <v>10</v>
      </c>
      <c r="B18" s="8" t="s">
        <v>450</v>
      </c>
      <c r="C18" s="8">
        <f>'- 53 -'!C18</f>
        <v>741087540</v>
      </c>
      <c r="D18" s="8">
        <f>'- 53 -'!E18</f>
        <v>152082300</v>
      </c>
      <c r="E18" s="8">
        <f t="shared" si="0"/>
        <v>893169840</v>
      </c>
      <c r="F18" s="8">
        <v>4920821.2656000005</v>
      </c>
      <c r="G18" s="8">
        <v>2509357.95</v>
      </c>
      <c r="H18" s="8">
        <f t="shared" si="1"/>
        <v>7430179.215600001</v>
      </c>
    </row>
    <row r="19" spans="1:8" ht="12" customHeight="1">
      <c r="A19" s="497">
        <v>11</v>
      </c>
      <c r="B19" s="7" t="s">
        <v>451</v>
      </c>
      <c r="C19" s="7">
        <f>'- 53 -'!C19</f>
        <v>514126430</v>
      </c>
      <c r="D19" s="7">
        <f>'- 53 -'!E19</f>
        <v>103271850</v>
      </c>
      <c r="E19" s="7">
        <f t="shared" si="0"/>
        <v>617398280</v>
      </c>
      <c r="F19" s="7">
        <v>3413799.4952000002</v>
      </c>
      <c r="G19" s="7">
        <v>1703985.5250000001</v>
      </c>
      <c r="H19" s="7">
        <f t="shared" si="1"/>
        <v>5117785.0202</v>
      </c>
    </row>
    <row r="20" spans="1:8" ht="12" customHeight="1">
      <c r="A20" s="500">
        <v>12</v>
      </c>
      <c r="B20" s="8" t="s">
        <v>452</v>
      </c>
      <c r="C20" s="8">
        <f>'- 53 -'!C20</f>
        <v>580278920</v>
      </c>
      <c r="D20" s="8">
        <f>'- 53 -'!E20</f>
        <v>336450600</v>
      </c>
      <c r="E20" s="8">
        <f t="shared" si="0"/>
        <v>916729520</v>
      </c>
      <c r="F20" s="8">
        <v>3853052.0288</v>
      </c>
      <c r="G20" s="8">
        <v>5551434.9</v>
      </c>
      <c r="H20" s="8">
        <f t="shared" si="1"/>
        <v>9404486.9288</v>
      </c>
    </row>
    <row r="21" spans="1:8" ht="12" customHeight="1">
      <c r="A21" s="497">
        <v>13</v>
      </c>
      <c r="B21" s="7" t="s">
        <v>453</v>
      </c>
      <c r="C21" s="7">
        <f>'- 53 -'!C21</f>
        <v>265817260</v>
      </c>
      <c r="D21" s="7">
        <f>'- 53 -'!E21</f>
        <v>80231020</v>
      </c>
      <c r="E21" s="7">
        <f t="shared" si="0"/>
        <v>346048280</v>
      </c>
      <c r="F21" s="7">
        <v>1765026.6064</v>
      </c>
      <c r="G21" s="7">
        <v>1323811.83</v>
      </c>
      <c r="H21" s="7">
        <f t="shared" si="1"/>
        <v>3088838.4364</v>
      </c>
    </row>
    <row r="22" spans="1:8" ht="12" customHeight="1">
      <c r="A22" s="500">
        <v>14</v>
      </c>
      <c r="B22" s="8" t="s">
        <v>454</v>
      </c>
      <c r="C22" s="8">
        <f>'- 53 -'!C22</f>
        <v>327555510</v>
      </c>
      <c r="D22" s="8">
        <f>'- 53 -'!E22</f>
        <v>76066160</v>
      </c>
      <c r="E22" s="8">
        <f t="shared" si="0"/>
        <v>403621670</v>
      </c>
      <c r="F22" s="8">
        <v>2174968.5864</v>
      </c>
      <c r="G22" s="8">
        <v>1255091.64</v>
      </c>
      <c r="H22" s="8">
        <f t="shared" si="1"/>
        <v>3430060.2264</v>
      </c>
    </row>
    <row r="23" spans="1:8" ht="12" customHeight="1">
      <c r="A23" s="497">
        <v>15</v>
      </c>
      <c r="B23" s="7" t="s">
        <v>455</v>
      </c>
      <c r="C23" s="7">
        <f>'- 53 -'!C23</f>
        <v>327999190</v>
      </c>
      <c r="D23" s="7">
        <f>'- 53 -'!E23</f>
        <v>137350680</v>
      </c>
      <c r="E23" s="7">
        <f t="shared" si="0"/>
        <v>465349870</v>
      </c>
      <c r="F23" s="7">
        <v>2177914.6216</v>
      </c>
      <c r="G23" s="7">
        <v>2266286.22</v>
      </c>
      <c r="H23" s="7">
        <f t="shared" si="1"/>
        <v>4444200.841600001</v>
      </c>
    </row>
    <row r="24" spans="1:8" ht="12" customHeight="1">
      <c r="A24" s="500">
        <v>16</v>
      </c>
      <c r="B24" s="8" t="s">
        <v>456</v>
      </c>
      <c r="C24" s="8">
        <f>'- 53 -'!C24</f>
        <v>37756880</v>
      </c>
      <c r="D24" s="8">
        <f>'- 53 -'!E24</f>
        <v>24928860</v>
      </c>
      <c r="E24" s="8">
        <f t="shared" si="0"/>
        <v>62685740</v>
      </c>
      <c r="F24" s="8">
        <v>250705.6832</v>
      </c>
      <c r="G24" s="8">
        <v>411326.19</v>
      </c>
      <c r="H24" s="8">
        <f t="shared" si="1"/>
        <v>662031.8732</v>
      </c>
    </row>
    <row r="25" spans="1:8" ht="12" customHeight="1">
      <c r="A25" s="497">
        <v>17</v>
      </c>
      <c r="B25" s="7" t="s">
        <v>457</v>
      </c>
      <c r="C25" s="7">
        <f>'- 53 -'!C25</f>
        <v>52877550</v>
      </c>
      <c r="D25" s="7">
        <f>'- 53 -'!E25</f>
        <v>33388240</v>
      </c>
      <c r="E25" s="7">
        <f t="shared" si="0"/>
        <v>86265790</v>
      </c>
      <c r="F25" s="7">
        <v>351106.93200000003</v>
      </c>
      <c r="G25" s="7">
        <v>550905.96</v>
      </c>
      <c r="H25" s="7">
        <f t="shared" si="1"/>
        <v>902012.892</v>
      </c>
    </row>
    <row r="26" spans="1:8" ht="12" customHeight="1">
      <c r="A26" s="500">
        <v>18</v>
      </c>
      <c r="B26" s="8" t="s">
        <v>458</v>
      </c>
      <c r="C26" s="8">
        <f>'- 53 -'!C26</f>
        <v>75422670</v>
      </c>
      <c r="D26" s="8">
        <f>'- 53 -'!E26</f>
        <v>38642250</v>
      </c>
      <c r="E26" s="8">
        <f t="shared" si="0"/>
        <v>114064920</v>
      </c>
      <c r="F26" s="8">
        <v>500806.52880000003</v>
      </c>
      <c r="G26" s="8">
        <v>637597.125</v>
      </c>
      <c r="H26" s="8">
        <f t="shared" si="1"/>
        <v>1138403.6538</v>
      </c>
    </row>
    <row r="27" spans="1:8" ht="12" customHeight="1">
      <c r="A27" s="497">
        <v>19</v>
      </c>
      <c r="B27" s="7" t="s">
        <v>459</v>
      </c>
      <c r="C27" s="7">
        <f>'- 53 -'!C27</f>
        <v>96792940</v>
      </c>
      <c r="D27" s="7">
        <f>'- 53 -'!E27</f>
        <v>72007970</v>
      </c>
      <c r="E27" s="7">
        <f t="shared" si="0"/>
        <v>168800910</v>
      </c>
      <c r="F27" s="7">
        <v>642705.1216</v>
      </c>
      <c r="G27" s="7">
        <v>1188131.5050000001</v>
      </c>
      <c r="H27" s="7">
        <f t="shared" si="1"/>
        <v>1830836.6266</v>
      </c>
    </row>
    <row r="28" spans="1:8" ht="12" customHeight="1">
      <c r="A28" s="500">
        <v>20</v>
      </c>
      <c r="B28" s="8" t="s">
        <v>460</v>
      </c>
      <c r="C28" s="8">
        <f>'- 53 -'!C28</f>
        <v>74939990</v>
      </c>
      <c r="D28" s="8">
        <f>'- 53 -'!E28</f>
        <v>32793730</v>
      </c>
      <c r="E28" s="8">
        <f t="shared" si="0"/>
        <v>107733720</v>
      </c>
      <c r="F28" s="8">
        <v>497601.5336</v>
      </c>
      <c r="G28" s="8">
        <v>541096.545</v>
      </c>
      <c r="H28" s="8">
        <f t="shared" si="1"/>
        <v>1038698.0786000001</v>
      </c>
    </row>
    <row r="29" spans="1:8" ht="12" customHeight="1">
      <c r="A29" s="497">
        <v>21</v>
      </c>
      <c r="B29" s="7" t="s">
        <v>461</v>
      </c>
      <c r="C29" s="7">
        <f>'- 53 -'!C29</f>
        <v>239393700</v>
      </c>
      <c r="D29" s="7">
        <f>'- 53 -'!E29</f>
        <v>89272380</v>
      </c>
      <c r="E29" s="7">
        <f t="shared" si="0"/>
        <v>328666080</v>
      </c>
      <c r="F29" s="7">
        <v>1589574.168</v>
      </c>
      <c r="G29" s="7">
        <v>1472994.27</v>
      </c>
      <c r="H29" s="7">
        <f t="shared" si="1"/>
        <v>3062568.438</v>
      </c>
    </row>
    <row r="30" spans="1:8" ht="12" customHeight="1">
      <c r="A30" s="500">
        <v>22</v>
      </c>
      <c r="B30" s="8" t="s">
        <v>462</v>
      </c>
      <c r="C30" s="8">
        <f>'- 53 -'!C30</f>
        <v>234522720</v>
      </c>
      <c r="D30" s="8">
        <f>'- 53 -'!E30</f>
        <v>64705750</v>
      </c>
      <c r="E30" s="8">
        <f t="shared" si="0"/>
        <v>299228470</v>
      </c>
      <c r="F30" s="8">
        <v>1557230.8608</v>
      </c>
      <c r="G30" s="8">
        <v>1067644.875</v>
      </c>
      <c r="H30" s="8">
        <f t="shared" si="1"/>
        <v>2624875.7358</v>
      </c>
    </row>
    <row r="31" spans="1:8" ht="12" customHeight="1">
      <c r="A31" s="497">
        <v>23</v>
      </c>
      <c r="B31" s="7" t="s">
        <v>463</v>
      </c>
      <c r="C31" s="7">
        <f>'- 53 -'!C31</f>
        <v>62667940</v>
      </c>
      <c r="D31" s="7">
        <f>'- 53 -'!E31</f>
        <v>17851030</v>
      </c>
      <c r="E31" s="7">
        <f t="shared" si="0"/>
        <v>80518970</v>
      </c>
      <c r="F31" s="7">
        <v>416115.1216</v>
      </c>
      <c r="G31" s="7">
        <v>294541.995</v>
      </c>
      <c r="H31" s="7">
        <f t="shared" si="1"/>
        <v>710657.1166000001</v>
      </c>
    </row>
    <row r="32" spans="1:8" ht="12" customHeight="1">
      <c r="A32" s="500">
        <v>24</v>
      </c>
      <c r="B32" s="8" t="s">
        <v>464</v>
      </c>
      <c r="C32" s="8">
        <f>'- 53 -'!C32</f>
        <v>215708640</v>
      </c>
      <c r="D32" s="8">
        <f>'- 53 -'!E32</f>
        <v>152193000</v>
      </c>
      <c r="E32" s="8">
        <f t="shared" si="0"/>
        <v>367901640</v>
      </c>
      <c r="F32" s="8">
        <v>1432305.3696</v>
      </c>
      <c r="G32" s="8">
        <v>2511184.5</v>
      </c>
      <c r="H32" s="8">
        <f t="shared" si="1"/>
        <v>3943489.8696</v>
      </c>
    </row>
    <row r="33" spans="1:8" ht="12" customHeight="1">
      <c r="A33" s="497">
        <v>25</v>
      </c>
      <c r="B33" s="7" t="s">
        <v>465</v>
      </c>
      <c r="C33" s="7">
        <f>'- 53 -'!C33</f>
        <v>85432170</v>
      </c>
      <c r="D33" s="7">
        <f>'- 53 -'!E33</f>
        <v>26547330</v>
      </c>
      <c r="E33" s="7">
        <f t="shared" si="0"/>
        <v>111979500</v>
      </c>
      <c r="F33" s="7">
        <v>567269.6088</v>
      </c>
      <c r="G33" s="7">
        <v>438030.945</v>
      </c>
      <c r="H33" s="7">
        <f t="shared" si="1"/>
        <v>1005300.5538000001</v>
      </c>
    </row>
    <row r="34" spans="1:8" ht="12" customHeight="1">
      <c r="A34" s="500">
        <v>26</v>
      </c>
      <c r="B34" s="8" t="s">
        <v>466</v>
      </c>
      <c r="C34" s="8">
        <f>'- 53 -'!C34</f>
        <v>156169920</v>
      </c>
      <c r="D34" s="8">
        <f>'- 53 -'!E34</f>
        <v>76551330</v>
      </c>
      <c r="E34" s="8">
        <f t="shared" si="0"/>
        <v>232721250</v>
      </c>
      <c r="F34" s="8">
        <v>1036968.2688</v>
      </c>
      <c r="G34" s="8">
        <v>1263096.945</v>
      </c>
      <c r="H34" s="8">
        <f t="shared" si="1"/>
        <v>2300065.2138</v>
      </c>
    </row>
    <row r="35" spans="1:8" ht="12" customHeight="1">
      <c r="A35" s="497">
        <v>28</v>
      </c>
      <c r="B35" s="7" t="s">
        <v>467</v>
      </c>
      <c r="C35" s="7">
        <f>'- 53 -'!C35</f>
        <v>33969030</v>
      </c>
      <c r="D35" s="7">
        <f>'- 53 -'!E35</f>
        <v>23519470</v>
      </c>
      <c r="E35" s="7">
        <f t="shared" si="0"/>
        <v>57488500</v>
      </c>
      <c r="F35" s="7">
        <v>225554.3592</v>
      </c>
      <c r="G35" s="7">
        <v>388071.255</v>
      </c>
      <c r="H35" s="7">
        <f t="shared" si="1"/>
        <v>613625.6142</v>
      </c>
    </row>
    <row r="36" spans="1:8" ht="12" customHeight="1">
      <c r="A36" s="500">
        <v>30</v>
      </c>
      <c r="B36" s="8" t="s">
        <v>468</v>
      </c>
      <c r="C36" s="8">
        <f>'- 53 -'!C36</f>
        <v>49096630</v>
      </c>
      <c r="D36" s="8">
        <f>'- 53 -'!E36</f>
        <v>45867060</v>
      </c>
      <c r="E36" s="8">
        <f t="shared" si="0"/>
        <v>94963690</v>
      </c>
      <c r="F36" s="8">
        <v>326001.62320000003</v>
      </c>
      <c r="G36" s="8">
        <v>756806.49</v>
      </c>
      <c r="H36" s="8">
        <f t="shared" si="1"/>
        <v>1082808.1132</v>
      </c>
    </row>
    <row r="37" spans="1:8" ht="12" customHeight="1">
      <c r="A37" s="497">
        <v>31</v>
      </c>
      <c r="B37" s="7" t="s">
        <v>469</v>
      </c>
      <c r="C37" s="7">
        <f>'- 53 -'!C37</f>
        <v>90171650</v>
      </c>
      <c r="D37" s="7">
        <f>'- 53 -'!E37</f>
        <v>74969370</v>
      </c>
      <c r="E37" s="7">
        <f t="shared" si="0"/>
        <v>165141020</v>
      </c>
      <c r="F37" s="7">
        <v>598739.756</v>
      </c>
      <c r="G37" s="7">
        <v>1236994.605</v>
      </c>
      <c r="H37" s="7">
        <f t="shared" si="1"/>
        <v>1835734.361</v>
      </c>
    </row>
    <row r="38" spans="1:8" ht="12" customHeight="1">
      <c r="A38" s="500">
        <v>32</v>
      </c>
      <c r="B38" s="8" t="s">
        <v>470</v>
      </c>
      <c r="C38" s="8">
        <f>'- 53 -'!C38</f>
        <v>38924000</v>
      </c>
      <c r="D38" s="8">
        <f>'- 53 -'!E38</f>
        <v>10221860</v>
      </c>
      <c r="E38" s="8">
        <f t="shared" si="0"/>
        <v>49145860</v>
      </c>
      <c r="F38" s="8">
        <v>258455.36</v>
      </c>
      <c r="G38" s="8">
        <v>168660.69</v>
      </c>
      <c r="H38" s="8">
        <f t="shared" si="1"/>
        <v>427116.05</v>
      </c>
    </row>
    <row r="39" spans="1:8" ht="12" customHeight="1">
      <c r="A39" s="497">
        <v>33</v>
      </c>
      <c r="B39" s="7" t="s">
        <v>471</v>
      </c>
      <c r="C39" s="7">
        <f>'- 53 -'!C39</f>
        <v>124399310</v>
      </c>
      <c r="D39" s="7">
        <f>'- 53 -'!E39</f>
        <v>46495100</v>
      </c>
      <c r="E39" s="7">
        <f t="shared" si="0"/>
        <v>170894410</v>
      </c>
      <c r="F39" s="7">
        <v>826011.4184</v>
      </c>
      <c r="G39" s="7">
        <v>767169.15</v>
      </c>
      <c r="H39" s="7">
        <f t="shared" si="1"/>
        <v>1593180.5684</v>
      </c>
    </row>
    <row r="40" spans="1:8" ht="12" customHeight="1">
      <c r="A40" s="500">
        <v>34</v>
      </c>
      <c r="B40" s="8" t="s">
        <v>472</v>
      </c>
      <c r="C40" s="8">
        <f>'- 53 -'!C40</f>
        <v>20834040</v>
      </c>
      <c r="D40" s="8">
        <f>'- 53 -'!E40</f>
        <v>2715510</v>
      </c>
      <c r="E40" s="8">
        <f t="shared" si="0"/>
        <v>23549550</v>
      </c>
      <c r="F40" s="8">
        <v>138338.0256</v>
      </c>
      <c r="G40" s="8">
        <v>44805.915</v>
      </c>
      <c r="H40" s="8">
        <f t="shared" si="1"/>
        <v>183143.9406</v>
      </c>
    </row>
    <row r="41" spans="1:8" ht="12" customHeight="1">
      <c r="A41" s="497">
        <v>35</v>
      </c>
      <c r="B41" s="7" t="s">
        <v>473</v>
      </c>
      <c r="C41" s="7">
        <f>'- 53 -'!C41</f>
        <v>96259880</v>
      </c>
      <c r="D41" s="7">
        <f>'- 53 -'!E41</f>
        <v>47350020</v>
      </c>
      <c r="E41" s="7">
        <f t="shared" si="0"/>
        <v>143609900</v>
      </c>
      <c r="F41" s="7">
        <v>639165.6032</v>
      </c>
      <c r="G41" s="7">
        <v>781275.33</v>
      </c>
      <c r="H41" s="7">
        <f t="shared" si="1"/>
        <v>1420440.9331999999</v>
      </c>
    </row>
    <row r="42" spans="1:8" ht="12" customHeight="1">
      <c r="A42" s="500">
        <v>36</v>
      </c>
      <c r="B42" s="8" t="s">
        <v>474</v>
      </c>
      <c r="C42" s="8">
        <f>'- 53 -'!C42</f>
        <v>60147080</v>
      </c>
      <c r="D42" s="8">
        <f>'- 53 -'!E42</f>
        <v>21507200</v>
      </c>
      <c r="E42" s="8">
        <f t="shared" si="0"/>
        <v>81654280</v>
      </c>
      <c r="F42" s="8">
        <v>399376.6112</v>
      </c>
      <c r="G42" s="8">
        <v>354868.8</v>
      </c>
      <c r="H42" s="8">
        <f t="shared" si="1"/>
        <v>754245.4112</v>
      </c>
    </row>
    <row r="43" spans="1:8" ht="12" customHeight="1">
      <c r="A43" s="497">
        <v>37</v>
      </c>
      <c r="B43" s="7" t="s">
        <v>475</v>
      </c>
      <c r="C43" s="7">
        <f>'- 53 -'!C43</f>
        <v>46342980</v>
      </c>
      <c r="D43" s="7">
        <f>'- 53 -'!E43</f>
        <v>25365690</v>
      </c>
      <c r="E43" s="7">
        <f aca="true" t="shared" si="2" ref="E43:E62">SUM(C43:D43)</f>
        <v>71708670</v>
      </c>
      <c r="F43" s="7">
        <v>307717.3872</v>
      </c>
      <c r="G43" s="7">
        <v>418533.885</v>
      </c>
      <c r="H43" s="7">
        <f aca="true" t="shared" si="3" ref="H43:H62">SUM(F43:G43)</f>
        <v>726251.2722</v>
      </c>
    </row>
    <row r="44" spans="1:8" ht="12" customHeight="1">
      <c r="A44" s="500">
        <v>38</v>
      </c>
      <c r="B44" s="8" t="s">
        <v>476</v>
      </c>
      <c r="C44" s="8">
        <f>'- 53 -'!C44</f>
        <v>45534030</v>
      </c>
      <c r="D44" s="8">
        <f>'- 53 -'!E44</f>
        <v>72303690</v>
      </c>
      <c r="E44" s="8">
        <f t="shared" si="2"/>
        <v>117837720</v>
      </c>
      <c r="F44" s="8">
        <v>302345.9592</v>
      </c>
      <c r="G44" s="8">
        <v>1193010.885</v>
      </c>
      <c r="H44" s="8">
        <f t="shared" si="3"/>
        <v>1495356.8442</v>
      </c>
    </row>
    <row r="45" spans="1:8" ht="12" customHeight="1">
      <c r="A45" s="497">
        <v>39</v>
      </c>
      <c r="B45" s="7" t="s">
        <v>477</v>
      </c>
      <c r="C45" s="7">
        <f>'- 53 -'!C45</f>
        <v>131054740</v>
      </c>
      <c r="D45" s="7">
        <f>'- 53 -'!E45</f>
        <v>83714950</v>
      </c>
      <c r="E45" s="7">
        <f t="shared" si="2"/>
        <v>214769690</v>
      </c>
      <c r="F45" s="7">
        <v>870203.4736</v>
      </c>
      <c r="G45" s="7">
        <v>1381296.675</v>
      </c>
      <c r="H45" s="7">
        <f t="shared" si="3"/>
        <v>2251500.1486</v>
      </c>
    </row>
    <row r="46" spans="1:8" ht="12" customHeight="1">
      <c r="A46" s="500">
        <v>40</v>
      </c>
      <c r="B46" s="8" t="s">
        <v>478</v>
      </c>
      <c r="C46" s="8">
        <f>'- 53 -'!C46</f>
        <v>615893450</v>
      </c>
      <c r="D46" s="8">
        <f>'- 53 -'!E46</f>
        <v>389542510</v>
      </c>
      <c r="E46" s="8">
        <f t="shared" si="2"/>
        <v>1005435960</v>
      </c>
      <c r="F46" s="8">
        <v>4089532.508</v>
      </c>
      <c r="G46" s="8">
        <v>6427451.415</v>
      </c>
      <c r="H46" s="8">
        <f t="shared" si="3"/>
        <v>10516983.923</v>
      </c>
    </row>
    <row r="47" spans="1:8" ht="12" customHeight="1">
      <c r="A47" s="497">
        <v>41</v>
      </c>
      <c r="B47" s="7" t="s">
        <v>479</v>
      </c>
      <c r="C47" s="7">
        <f>'- 53 -'!C47</f>
        <v>69782290</v>
      </c>
      <c r="D47" s="7">
        <f>'- 53 -'!E47</f>
        <v>106258760</v>
      </c>
      <c r="E47" s="7">
        <f t="shared" si="2"/>
        <v>176041050</v>
      </c>
      <c r="F47" s="7">
        <v>463354.4056</v>
      </c>
      <c r="G47" s="7">
        <v>1753269.54</v>
      </c>
      <c r="H47" s="7">
        <f t="shared" si="3"/>
        <v>2216623.9456</v>
      </c>
    </row>
    <row r="48" spans="1:8" ht="12" customHeight="1">
      <c r="A48" s="500">
        <v>42</v>
      </c>
      <c r="B48" s="8" t="s">
        <v>480</v>
      </c>
      <c r="C48" s="8">
        <f>'- 53 -'!C48</f>
        <v>49590100</v>
      </c>
      <c r="D48" s="8">
        <f>'- 53 -'!E48</f>
        <v>47696770</v>
      </c>
      <c r="E48" s="8">
        <f t="shared" si="2"/>
        <v>97286870</v>
      </c>
      <c r="F48" s="8">
        <v>329278.264</v>
      </c>
      <c r="G48" s="8">
        <v>786996.7050000001</v>
      </c>
      <c r="H48" s="8">
        <f t="shared" si="3"/>
        <v>1116274.969</v>
      </c>
    </row>
    <row r="49" spans="1:8" ht="12" customHeight="1">
      <c r="A49" s="497">
        <v>43</v>
      </c>
      <c r="B49" s="7" t="s">
        <v>481</v>
      </c>
      <c r="C49" s="7">
        <f>'- 53 -'!C49</f>
        <v>37744870</v>
      </c>
      <c r="D49" s="7">
        <f>'- 53 -'!E49</f>
        <v>28660840</v>
      </c>
      <c r="E49" s="7">
        <f t="shared" si="2"/>
        <v>66405710</v>
      </c>
      <c r="F49" s="7">
        <v>250625.9368</v>
      </c>
      <c r="G49" s="7">
        <v>472903.86</v>
      </c>
      <c r="H49" s="7">
        <f t="shared" si="3"/>
        <v>723529.7968</v>
      </c>
    </row>
    <row r="50" spans="1:8" ht="12" customHeight="1">
      <c r="A50" s="500">
        <v>44</v>
      </c>
      <c r="B50" s="8" t="s">
        <v>482</v>
      </c>
      <c r="C50" s="8">
        <f>'- 53 -'!C50</f>
        <v>68492010</v>
      </c>
      <c r="D50" s="8">
        <f>'- 53 -'!E50</f>
        <v>32709330</v>
      </c>
      <c r="E50" s="8">
        <f t="shared" si="2"/>
        <v>101201340</v>
      </c>
      <c r="F50" s="8">
        <v>454786.9464</v>
      </c>
      <c r="G50" s="8">
        <v>539703.9450000001</v>
      </c>
      <c r="H50" s="8">
        <f t="shared" si="3"/>
        <v>994490.8914000001</v>
      </c>
    </row>
    <row r="51" spans="1:8" ht="12" customHeight="1">
      <c r="A51" s="497">
        <v>45</v>
      </c>
      <c r="B51" s="7" t="s">
        <v>483</v>
      </c>
      <c r="C51" s="7">
        <f>'- 53 -'!C51</f>
        <v>76525420</v>
      </c>
      <c r="D51" s="7">
        <f>'- 53 -'!E51</f>
        <v>58621770</v>
      </c>
      <c r="E51" s="7">
        <f t="shared" si="2"/>
        <v>135147190</v>
      </c>
      <c r="F51" s="7">
        <v>508128.7888</v>
      </c>
      <c r="G51" s="7">
        <v>967259.2050000001</v>
      </c>
      <c r="H51" s="7">
        <f t="shared" si="3"/>
        <v>1475387.9938</v>
      </c>
    </row>
    <row r="52" spans="1:8" ht="12" customHeight="1">
      <c r="A52" s="500">
        <v>46</v>
      </c>
      <c r="B52" s="8" t="s">
        <v>484</v>
      </c>
      <c r="C52" s="8">
        <f>'- 53 -'!C52</f>
        <v>50788040</v>
      </c>
      <c r="D52" s="8">
        <f>'- 53 -'!E52</f>
        <v>19925820</v>
      </c>
      <c r="E52" s="8">
        <f t="shared" si="2"/>
        <v>70713860</v>
      </c>
      <c r="F52" s="8">
        <v>337232.5856</v>
      </c>
      <c r="G52" s="8">
        <v>328776.03</v>
      </c>
      <c r="H52" s="8">
        <f t="shared" si="3"/>
        <v>666008.6156</v>
      </c>
    </row>
    <row r="53" spans="1:8" ht="12" customHeight="1">
      <c r="A53" s="497">
        <v>47</v>
      </c>
      <c r="B53" s="7" t="s">
        <v>485</v>
      </c>
      <c r="C53" s="7">
        <f>'- 53 -'!C53</f>
        <v>103030210</v>
      </c>
      <c r="D53" s="7">
        <f>'- 53 -'!E53</f>
        <v>41986850</v>
      </c>
      <c r="E53" s="7">
        <f t="shared" si="2"/>
        <v>145017060</v>
      </c>
      <c r="F53" s="7">
        <v>684120.5944000001</v>
      </c>
      <c r="G53" s="7">
        <v>692783.025</v>
      </c>
      <c r="H53" s="7">
        <f t="shared" si="3"/>
        <v>1376903.6194000002</v>
      </c>
    </row>
    <row r="54" spans="1:8" ht="12" customHeight="1">
      <c r="A54" s="500">
        <v>48</v>
      </c>
      <c r="B54" s="8" t="s">
        <v>486</v>
      </c>
      <c r="C54" s="8">
        <f>'- 53 -'!C54</f>
        <v>34621120</v>
      </c>
      <c r="D54" s="8">
        <f>'- 53 -'!E54</f>
        <v>23474660</v>
      </c>
      <c r="E54" s="8">
        <f t="shared" si="2"/>
        <v>58095780</v>
      </c>
      <c r="F54" s="8">
        <v>229884.2368</v>
      </c>
      <c r="G54" s="8">
        <v>387331.89</v>
      </c>
      <c r="H54" s="8">
        <f t="shared" si="3"/>
        <v>617216.1268</v>
      </c>
    </row>
    <row r="55" spans="1:8" ht="12" customHeight="1">
      <c r="A55" s="497">
        <v>49</v>
      </c>
      <c r="B55" s="7" t="s">
        <v>487</v>
      </c>
      <c r="C55" s="7">
        <f>'- 53 -'!C55</f>
        <v>0</v>
      </c>
      <c r="D55" s="7">
        <f>'- 53 -'!E55</f>
        <v>0</v>
      </c>
      <c r="E55" s="7">
        <f t="shared" si="2"/>
        <v>0</v>
      </c>
      <c r="F55" s="7">
        <v>0</v>
      </c>
      <c r="G55" s="7">
        <v>0</v>
      </c>
      <c r="H55" s="7">
        <f t="shared" si="3"/>
        <v>0</v>
      </c>
    </row>
    <row r="56" spans="1:8" ht="12" customHeight="1">
      <c r="A56" s="500">
        <v>50</v>
      </c>
      <c r="B56" s="8" t="s">
        <v>488</v>
      </c>
      <c r="C56" s="8">
        <f>'- 53 -'!C56</f>
        <v>72625850</v>
      </c>
      <c r="D56" s="8">
        <f>'- 53 -'!E56</f>
        <v>44710220</v>
      </c>
      <c r="E56" s="8">
        <f t="shared" si="2"/>
        <v>117336070</v>
      </c>
      <c r="F56" s="8">
        <v>482235.64400000003</v>
      </c>
      <c r="G56" s="8">
        <v>737718.63</v>
      </c>
      <c r="H56" s="8">
        <f t="shared" si="3"/>
        <v>1219954.274</v>
      </c>
    </row>
    <row r="57" spans="1:8" ht="12" customHeight="1">
      <c r="A57" s="497">
        <v>2264</v>
      </c>
      <c r="B57" s="7" t="s">
        <v>489</v>
      </c>
      <c r="C57" s="7">
        <f>'- 53 -'!C57</f>
        <v>7006420</v>
      </c>
      <c r="D57" s="7">
        <f>'- 53 -'!E57</f>
        <v>13843400</v>
      </c>
      <c r="E57" s="7">
        <f t="shared" si="2"/>
        <v>20849820</v>
      </c>
      <c r="F57" s="7">
        <v>46522.6288</v>
      </c>
      <c r="G57" s="7">
        <v>228416.1</v>
      </c>
      <c r="H57" s="7">
        <f t="shared" si="3"/>
        <v>274938.7288</v>
      </c>
    </row>
    <row r="58" spans="1:8" ht="12" customHeight="1">
      <c r="A58" s="500">
        <v>2309</v>
      </c>
      <c r="B58" s="8" t="s">
        <v>490</v>
      </c>
      <c r="C58" s="8">
        <f>'- 53 -'!C58</f>
        <v>9087990</v>
      </c>
      <c r="D58" s="8">
        <f>'- 53 -'!E58</f>
        <v>2406260</v>
      </c>
      <c r="E58" s="8">
        <f t="shared" si="2"/>
        <v>11494250</v>
      </c>
      <c r="F58" s="8">
        <v>60344.253600000004</v>
      </c>
      <c r="G58" s="8">
        <v>39703.29</v>
      </c>
      <c r="H58" s="8">
        <f t="shared" si="3"/>
        <v>100047.5436</v>
      </c>
    </row>
    <row r="59" spans="1:8" ht="12" customHeight="1">
      <c r="A59" s="497">
        <v>2312</v>
      </c>
      <c r="B59" s="7" t="s">
        <v>491</v>
      </c>
      <c r="C59" s="7">
        <f>'- 53 -'!C59</f>
        <v>1211300</v>
      </c>
      <c r="D59" s="7">
        <f>'- 53 -'!E59</f>
        <v>1118320</v>
      </c>
      <c r="E59" s="7">
        <f t="shared" si="2"/>
        <v>2329620</v>
      </c>
      <c r="F59" s="7">
        <v>8043.032</v>
      </c>
      <c r="G59" s="7">
        <v>18452.28</v>
      </c>
      <c r="H59" s="7">
        <f t="shared" si="3"/>
        <v>26495.311999999998</v>
      </c>
    </row>
    <row r="60" spans="1:8" ht="12" customHeight="1">
      <c r="A60" s="500">
        <v>2355</v>
      </c>
      <c r="B60" s="8" t="s">
        <v>492</v>
      </c>
      <c r="C60" s="8">
        <f>'- 53 -'!C60</f>
        <v>129750670</v>
      </c>
      <c r="D60" s="8">
        <f>'- 53 -'!E60</f>
        <v>55124760</v>
      </c>
      <c r="E60" s="8">
        <f t="shared" si="2"/>
        <v>184875430</v>
      </c>
      <c r="F60" s="8">
        <v>861544.4488</v>
      </c>
      <c r="G60" s="8">
        <v>909558.54</v>
      </c>
      <c r="H60" s="8">
        <f t="shared" si="3"/>
        <v>1771102.9888</v>
      </c>
    </row>
    <row r="61" spans="1:8" ht="12" customHeight="1">
      <c r="A61" s="497">
        <v>2439</v>
      </c>
      <c r="B61" s="7" t="s">
        <v>493</v>
      </c>
      <c r="C61" s="7">
        <f>'- 53 -'!C61</f>
        <v>6314660</v>
      </c>
      <c r="D61" s="7">
        <f>'- 53 -'!E61</f>
        <v>4389610</v>
      </c>
      <c r="E61" s="7">
        <f t="shared" si="2"/>
        <v>10704270</v>
      </c>
      <c r="F61" s="7">
        <v>41929.3424</v>
      </c>
      <c r="G61" s="7">
        <v>72428.565</v>
      </c>
      <c r="H61" s="7">
        <f t="shared" si="3"/>
        <v>114357.9074</v>
      </c>
    </row>
    <row r="62" spans="1:8" ht="12" customHeight="1">
      <c r="A62" s="500">
        <v>2460</v>
      </c>
      <c r="B62" s="8" t="s">
        <v>494</v>
      </c>
      <c r="C62" s="8">
        <f>'- 53 -'!C62</f>
        <v>6861660</v>
      </c>
      <c r="D62" s="8">
        <f>'- 53 -'!E62</f>
        <v>6917680</v>
      </c>
      <c r="E62" s="8">
        <f t="shared" si="2"/>
        <v>13779340</v>
      </c>
      <c r="F62" s="8">
        <v>45561.4224</v>
      </c>
      <c r="G62" s="8">
        <v>114141.72</v>
      </c>
      <c r="H62" s="8">
        <f t="shared" si="3"/>
        <v>159703.1424</v>
      </c>
    </row>
    <row r="63" spans="1:8" ht="12" customHeight="1">
      <c r="A63" s="497">
        <v>3000</v>
      </c>
      <c r="B63" s="7" t="s">
        <v>495</v>
      </c>
      <c r="C63" s="7">
        <f>'- 53 -'!C63</f>
        <v>0</v>
      </c>
      <c r="D63" s="7">
        <f>'- 53 -'!E63</f>
        <v>0</v>
      </c>
      <c r="E63" s="7"/>
      <c r="F63" s="7"/>
      <c r="G63" s="7"/>
      <c r="H63" s="7"/>
    </row>
    <row r="64" spans="1:2" ht="4.5" customHeight="1">
      <c r="A64" s="9"/>
      <c r="B64" s="9"/>
    </row>
    <row r="65" spans="1:8" ht="12.75">
      <c r="A65" s="492"/>
      <c r="B65" s="11" t="s">
        <v>408</v>
      </c>
      <c r="C65" s="11">
        <f aca="true" t="shared" si="4" ref="C65:H65">SUM(C11:C63)</f>
        <v>13378291930</v>
      </c>
      <c r="D65" s="11">
        <f t="shared" si="4"/>
        <v>6813244330</v>
      </c>
      <c r="E65" s="11">
        <f t="shared" si="4"/>
        <v>20191536260</v>
      </c>
      <c r="F65" s="11">
        <f t="shared" si="4"/>
        <v>88831858.41520002</v>
      </c>
      <c r="G65" s="11">
        <f t="shared" si="4"/>
        <v>112418531.44500001</v>
      </c>
      <c r="H65" s="11">
        <f t="shared" si="4"/>
        <v>201250389.86019996</v>
      </c>
    </row>
    <row r="66" spans="1:2" ht="3.75" customHeight="1">
      <c r="A66" s="9"/>
      <c r="B66" s="9"/>
    </row>
    <row r="67" spans="1:8" ht="12" customHeight="1">
      <c r="A67"/>
      <c r="B67" s="8" t="s">
        <v>496</v>
      </c>
      <c r="C67" s="493">
        <f>'- 53 -'!C67</f>
        <v>17332120</v>
      </c>
      <c r="D67" s="493">
        <f>'- 53 -'!E67</f>
        <v>1348600</v>
      </c>
      <c r="E67" s="493">
        <f>SUM(C67:D67)</f>
        <v>18680720</v>
      </c>
      <c r="F67" s="493">
        <v>0</v>
      </c>
      <c r="G67" s="493">
        <v>0</v>
      </c>
      <c r="H67" s="493">
        <f>SUM(F67:G67)</f>
        <v>0</v>
      </c>
    </row>
    <row r="68" spans="1:8" ht="12" customHeight="1">
      <c r="A68"/>
      <c r="B68" s="7" t="s">
        <v>497</v>
      </c>
      <c r="C68" s="494">
        <f>'- 53 -'!C68</f>
        <v>6872640</v>
      </c>
      <c r="D68" s="494">
        <f>'- 53 -'!E68</f>
        <v>26403690</v>
      </c>
      <c r="E68" s="495">
        <f>SUM(C68:D68)</f>
        <v>33276330</v>
      </c>
      <c r="F68" s="495">
        <v>45634.3296</v>
      </c>
      <c r="G68" s="495">
        <v>435660.885</v>
      </c>
      <c r="H68" s="495">
        <f>SUM(F68:G68)</f>
        <v>481295.2146</v>
      </c>
    </row>
    <row r="69" spans="3:8" ht="3.75" customHeight="1">
      <c r="C69" s="9"/>
      <c r="D69" s="9"/>
      <c r="E69" s="9"/>
      <c r="F69" s="9"/>
      <c r="G69" s="9"/>
      <c r="H69" s="9"/>
    </row>
    <row r="70" spans="1:8" ht="12" customHeight="1">
      <c r="A70" s="3"/>
      <c r="B70" s="496" t="s">
        <v>498</v>
      </c>
      <c r="C70" s="11">
        <f aca="true" t="shared" si="5" ref="C70:H70">SUM(C65,C67:C68)</f>
        <v>13402496690</v>
      </c>
      <c r="D70" s="11">
        <f t="shared" si="5"/>
        <v>6840996620</v>
      </c>
      <c r="E70" s="11">
        <f t="shared" si="5"/>
        <v>20243493310</v>
      </c>
      <c r="F70" s="11">
        <f t="shared" si="5"/>
        <v>88877492.74480003</v>
      </c>
      <c r="G70" s="11">
        <f t="shared" si="5"/>
        <v>112854192.33000001</v>
      </c>
      <c r="H70" s="11">
        <f t="shared" si="5"/>
        <v>201731685.07479995</v>
      </c>
    </row>
    <row r="71" spans="1:8" ht="16.5" customHeight="1">
      <c r="A71" s="483" t="s">
        <v>243</v>
      </c>
      <c r="B71" s="519" t="s">
        <v>516</v>
      </c>
      <c r="C71" s="99"/>
      <c r="D71" s="99"/>
      <c r="E71" s="99"/>
      <c r="F71" s="99"/>
      <c r="G71" s="99"/>
      <c r="H71" s="99"/>
    </row>
    <row r="72" spans="2:8" ht="13.5" customHeight="1">
      <c r="B72" s="480" t="s">
        <v>541</v>
      </c>
      <c r="C72" s="99"/>
      <c r="D72" s="99"/>
      <c r="E72" s="99"/>
      <c r="F72" s="99"/>
      <c r="G72" s="99"/>
      <c r="H72" s="99"/>
    </row>
    <row r="73" spans="2:8" ht="13.5" customHeight="1">
      <c r="B73" s="480" t="s">
        <v>542</v>
      </c>
      <c r="C73" s="99"/>
      <c r="D73" s="99"/>
      <c r="E73" s="99"/>
      <c r="F73" s="99"/>
      <c r="G73" s="99"/>
      <c r="H73" s="99"/>
    </row>
    <row r="74" spans="1:8" ht="13.5" customHeight="1">
      <c r="A74" s="483" t="s">
        <v>513</v>
      </c>
      <c r="B74" s="519" t="s">
        <v>514</v>
      </c>
      <c r="C74" s="99"/>
      <c r="D74" s="99"/>
      <c r="E74" s="99"/>
      <c r="F74" s="99"/>
      <c r="G74" s="99"/>
      <c r="H74" s="99"/>
    </row>
    <row r="75" spans="3:8" ht="12" customHeight="1">
      <c r="C75" s="105"/>
      <c r="D75" s="139"/>
      <c r="E75" s="139"/>
      <c r="F75" s="139"/>
      <c r="G75" s="139"/>
      <c r="H75" s="139"/>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3">
    <pageSetUpPr fitToPage="1"/>
  </sheetPr>
  <dimension ref="A1:K74"/>
  <sheetViews>
    <sheetView showGridLines="0" showZeros="0" workbookViewId="0" topLeftCell="A1">
      <selection activeCell="A1" sqref="A1"/>
    </sheetView>
  </sheetViews>
  <sheetFormatPr defaultColWidth="15.83203125" defaultRowHeight="12"/>
  <cols>
    <col min="1" max="1" width="5.83203125" style="67" customWidth="1"/>
    <col min="2" max="2" width="29.83203125" style="67" customWidth="1"/>
    <col min="3" max="3" width="16.83203125" style="67" customWidth="1"/>
    <col min="4" max="4" width="15.83203125" style="67" customWidth="1"/>
    <col min="5" max="6" width="16.83203125" style="67" customWidth="1"/>
    <col min="7" max="7" width="13.83203125" style="67" customWidth="1"/>
    <col min="8" max="16384" width="15.83203125" style="67" customWidth="1"/>
  </cols>
  <sheetData>
    <row r="1" spans="1:2" ht="6.75" customHeight="1">
      <c r="A1" s="9"/>
      <c r="B1" s="65"/>
    </row>
    <row r="2" spans="1:8" ht="12.75" customHeight="1">
      <c r="A2" s="5"/>
      <c r="B2" s="516" t="s">
        <v>129</v>
      </c>
      <c r="C2" s="516"/>
      <c r="D2" s="345"/>
      <c r="E2" s="345"/>
      <c r="F2" s="345"/>
      <c r="G2" s="345"/>
      <c r="H2" s="345"/>
    </row>
    <row r="3" spans="1:8" ht="15" customHeight="1">
      <c r="A3" s="114"/>
      <c r="B3" s="517" t="s">
        <v>507</v>
      </c>
      <c r="C3" s="517"/>
      <c r="D3" s="114"/>
      <c r="E3" s="114"/>
      <c r="F3" s="487"/>
      <c r="G3" s="487"/>
      <c r="H3" s="114"/>
    </row>
    <row r="4" spans="1:8" ht="3" customHeight="1">
      <c r="A4" s="488"/>
      <c r="B4"/>
      <c r="C4" s="116"/>
      <c r="D4" s="116"/>
      <c r="E4" s="116"/>
      <c r="F4" s="125"/>
      <c r="G4" s="125"/>
      <c r="H4" s="125"/>
    </row>
    <row r="5" spans="1:8" ht="3" customHeight="1">
      <c r="A5" s="488"/>
      <c r="C5" s="43"/>
      <c r="D5" s="116"/>
      <c r="E5" s="116"/>
      <c r="F5" s="116"/>
      <c r="G5" s="116"/>
      <c r="H5" s="116"/>
    </row>
    <row r="6" spans="1:9" ht="12.75">
      <c r="A6" s="488"/>
      <c r="C6" s="126" t="s">
        <v>138</v>
      </c>
      <c r="D6" s="127"/>
      <c r="E6" s="127"/>
      <c r="F6" s="128"/>
      <c r="G6" s="116"/>
      <c r="H6" s="116"/>
      <c r="I6" s="82" t="s">
        <v>180</v>
      </c>
    </row>
    <row r="7" spans="1:9" ht="12" customHeight="1">
      <c r="A7" s="9"/>
      <c r="C7" s="129" t="s">
        <v>151</v>
      </c>
      <c r="D7" s="129" t="s">
        <v>152</v>
      </c>
      <c r="E7" s="130"/>
      <c r="F7" s="117"/>
      <c r="G7" s="131"/>
      <c r="H7" s="117" t="s">
        <v>153</v>
      </c>
      <c r="I7" s="82" t="s">
        <v>167</v>
      </c>
    </row>
    <row r="8" spans="1:9" ht="12" customHeight="1">
      <c r="A8" s="489"/>
      <c r="B8" s="35"/>
      <c r="C8" s="132" t="s">
        <v>177</v>
      </c>
      <c r="D8" s="132" t="s">
        <v>178</v>
      </c>
      <c r="E8" s="133" t="s">
        <v>15</v>
      </c>
      <c r="F8" s="134"/>
      <c r="G8" s="119" t="s">
        <v>153</v>
      </c>
      <c r="H8" s="119" t="s">
        <v>179</v>
      </c>
      <c r="I8" s="82" t="s">
        <v>262</v>
      </c>
    </row>
    <row r="9" spans="1:9" ht="13.5" customHeight="1">
      <c r="A9" s="490" t="s">
        <v>442</v>
      </c>
      <c r="B9" s="491" t="s">
        <v>112</v>
      </c>
      <c r="C9" s="135" t="s">
        <v>192</v>
      </c>
      <c r="D9" s="135" t="s">
        <v>189</v>
      </c>
      <c r="E9" s="135" t="s">
        <v>193</v>
      </c>
      <c r="F9" s="121" t="s">
        <v>81</v>
      </c>
      <c r="G9" s="121" t="s">
        <v>179</v>
      </c>
      <c r="H9" s="121" t="s">
        <v>508</v>
      </c>
      <c r="I9" s="82" t="s">
        <v>263</v>
      </c>
    </row>
    <row r="10" spans="1:8" ht="4.5" customHeight="1">
      <c r="A10" s="62"/>
      <c r="B10" s="62"/>
      <c r="C10" s="122"/>
      <c r="D10" s="136"/>
      <c r="E10" s="122"/>
      <c r="F10" s="122"/>
      <c r="G10" s="136"/>
      <c r="H10" s="136"/>
    </row>
    <row r="11" spans="1:11" ht="12" customHeight="1">
      <c r="A11" s="497">
        <v>1</v>
      </c>
      <c r="B11" s="7" t="s">
        <v>443</v>
      </c>
      <c r="C11" s="7">
        <v>1971764720</v>
      </c>
      <c r="D11" s="7">
        <v>1050100</v>
      </c>
      <c r="E11" s="7">
        <v>2065233120</v>
      </c>
      <c r="F11" s="7">
        <f aca="true" t="shared" si="0" ref="F11:F42">SUM(C11:E11)</f>
        <v>4038047940</v>
      </c>
      <c r="G11" s="7">
        <f>'- 55 -'!D11</f>
        <v>107748572</v>
      </c>
      <c r="H11" s="498">
        <f aca="true" t="shared" si="1" ref="H11:H51">G11/F11*1000</f>
        <v>26.683331550541226</v>
      </c>
      <c r="J11" s="499">
        <v>1</v>
      </c>
      <c r="K11" s="137">
        <f aca="true" t="shared" si="2" ref="K11:K54">H11</f>
        <v>26.683331550541226</v>
      </c>
    </row>
    <row r="12" spans="1:11" ht="12" customHeight="1">
      <c r="A12" s="500">
        <v>2</v>
      </c>
      <c r="B12" s="8" t="s">
        <v>444</v>
      </c>
      <c r="C12" s="8">
        <v>901225270</v>
      </c>
      <c r="D12" s="8">
        <v>5652690</v>
      </c>
      <c r="E12" s="8">
        <v>662160960</v>
      </c>
      <c r="F12" s="8">
        <f t="shared" si="0"/>
        <v>1569038920</v>
      </c>
      <c r="G12" s="8">
        <f>'- 55 -'!D12</f>
        <v>27188910</v>
      </c>
      <c r="H12" s="501">
        <f t="shared" si="1"/>
        <v>17.32838469041928</v>
      </c>
      <c r="J12" s="499">
        <v>2</v>
      </c>
      <c r="K12" s="137">
        <f t="shared" si="2"/>
        <v>17.32838469041928</v>
      </c>
    </row>
    <row r="13" spans="1:11" ht="12" customHeight="1">
      <c r="A13" s="497">
        <v>3</v>
      </c>
      <c r="B13" s="7" t="s">
        <v>445</v>
      </c>
      <c r="C13" s="7">
        <v>879268290</v>
      </c>
      <c r="D13" s="7">
        <v>4092240</v>
      </c>
      <c r="E13" s="7">
        <v>128544520</v>
      </c>
      <c r="F13" s="7">
        <f t="shared" si="0"/>
        <v>1011905050</v>
      </c>
      <c r="G13" s="7">
        <f>'- 55 -'!D13</f>
        <v>22983747</v>
      </c>
      <c r="H13" s="498">
        <f t="shared" si="1"/>
        <v>22.713343509848084</v>
      </c>
      <c r="J13" s="499">
        <v>3</v>
      </c>
      <c r="K13" s="137">
        <f t="shared" si="2"/>
        <v>22.713343509848084</v>
      </c>
    </row>
    <row r="14" spans="1:11" ht="12" customHeight="1">
      <c r="A14" s="500">
        <v>4</v>
      </c>
      <c r="B14" s="8" t="s">
        <v>446</v>
      </c>
      <c r="C14" s="8">
        <v>669344160</v>
      </c>
      <c r="D14" s="8">
        <v>1194100</v>
      </c>
      <c r="E14" s="8">
        <v>298639880</v>
      </c>
      <c r="F14" s="8">
        <f t="shared" si="0"/>
        <v>969178140</v>
      </c>
      <c r="G14" s="8">
        <f>'- 55 -'!D14</f>
        <v>21210404</v>
      </c>
      <c r="H14" s="501">
        <f t="shared" si="1"/>
        <v>21.884938510891303</v>
      </c>
      <c r="J14" s="499">
        <v>4</v>
      </c>
      <c r="K14" s="137">
        <f t="shared" si="2"/>
        <v>21.884938510891303</v>
      </c>
    </row>
    <row r="15" spans="1:11" ht="12" customHeight="1">
      <c r="A15" s="497">
        <v>5</v>
      </c>
      <c r="B15" s="7" t="s">
        <v>447</v>
      </c>
      <c r="C15" s="7">
        <v>733391850</v>
      </c>
      <c r="D15" s="7">
        <v>2003530</v>
      </c>
      <c r="E15" s="7">
        <v>436452210</v>
      </c>
      <c r="F15" s="7">
        <f t="shared" si="0"/>
        <v>1171847590</v>
      </c>
      <c r="G15" s="7">
        <f>'- 55 -'!D15</f>
        <v>26600023</v>
      </c>
      <c r="H15" s="498">
        <f t="shared" si="1"/>
        <v>22.699217224997664</v>
      </c>
      <c r="J15" s="499">
        <v>5</v>
      </c>
      <c r="K15" s="137">
        <f t="shared" si="2"/>
        <v>22.699217224997664</v>
      </c>
    </row>
    <row r="16" spans="1:11" ht="12" customHeight="1">
      <c r="A16" s="500">
        <v>6</v>
      </c>
      <c r="B16" s="8" t="s">
        <v>448</v>
      </c>
      <c r="C16" s="8">
        <v>894336340</v>
      </c>
      <c r="D16" s="8">
        <v>5025270</v>
      </c>
      <c r="E16" s="8">
        <v>200258230</v>
      </c>
      <c r="F16" s="8">
        <f t="shared" si="0"/>
        <v>1099619840</v>
      </c>
      <c r="G16" s="8">
        <f>'- 55 -'!D16</f>
        <v>24105260</v>
      </c>
      <c r="H16" s="501">
        <f t="shared" si="1"/>
        <v>21.921448779971083</v>
      </c>
      <c r="J16" s="499">
        <v>6</v>
      </c>
      <c r="K16" s="137">
        <f t="shared" si="2"/>
        <v>21.921448779971083</v>
      </c>
    </row>
    <row r="17" spans="1:11" ht="12" customHeight="1">
      <c r="A17" s="497">
        <v>9</v>
      </c>
      <c r="B17" s="7" t="s">
        <v>449</v>
      </c>
      <c r="C17" s="7">
        <v>1164351900</v>
      </c>
      <c r="D17" s="7">
        <v>5090650</v>
      </c>
      <c r="E17" s="7">
        <v>176203450</v>
      </c>
      <c r="F17" s="7">
        <f t="shared" si="0"/>
        <v>1345646000</v>
      </c>
      <c r="G17" s="7">
        <f>'- 55 -'!D17</f>
        <v>30650482</v>
      </c>
      <c r="H17" s="498">
        <f t="shared" si="1"/>
        <v>22.777522468762214</v>
      </c>
      <c r="J17" s="499">
        <v>9</v>
      </c>
      <c r="K17" s="137">
        <f t="shared" si="2"/>
        <v>22.777522468762214</v>
      </c>
    </row>
    <row r="18" spans="1:11" ht="12" customHeight="1">
      <c r="A18" s="500">
        <v>10</v>
      </c>
      <c r="B18" s="8" t="s">
        <v>450</v>
      </c>
      <c r="C18" s="8">
        <v>741087540</v>
      </c>
      <c r="D18" s="8">
        <v>5050840</v>
      </c>
      <c r="E18" s="8">
        <v>152082300</v>
      </c>
      <c r="F18" s="8">
        <f t="shared" si="0"/>
        <v>898220680</v>
      </c>
      <c r="G18" s="8">
        <f>'- 55 -'!D18</f>
        <v>24460476</v>
      </c>
      <c r="H18" s="501">
        <f t="shared" si="1"/>
        <v>27.232145222931184</v>
      </c>
      <c r="J18" s="499">
        <v>10</v>
      </c>
      <c r="K18" s="137">
        <f t="shared" si="2"/>
        <v>27.232145222931184</v>
      </c>
    </row>
    <row r="19" spans="1:11" ht="12" customHeight="1">
      <c r="A19" s="497">
        <v>11</v>
      </c>
      <c r="B19" s="7" t="s">
        <v>451</v>
      </c>
      <c r="C19" s="7">
        <v>514126430</v>
      </c>
      <c r="D19" s="7">
        <v>30861180</v>
      </c>
      <c r="E19" s="7">
        <v>103271850</v>
      </c>
      <c r="F19" s="7">
        <f t="shared" si="0"/>
        <v>648259460</v>
      </c>
      <c r="G19" s="7">
        <f>'- 55 -'!D19</f>
        <v>12810734</v>
      </c>
      <c r="H19" s="498">
        <f t="shared" si="1"/>
        <v>19.761738610031237</v>
      </c>
      <c r="J19" s="499">
        <v>11</v>
      </c>
      <c r="K19" s="137">
        <f t="shared" si="2"/>
        <v>19.761738610031237</v>
      </c>
    </row>
    <row r="20" spans="1:11" ht="12" customHeight="1">
      <c r="A20" s="500">
        <v>12</v>
      </c>
      <c r="B20" s="8" t="s">
        <v>452</v>
      </c>
      <c r="C20" s="8">
        <v>580278920</v>
      </c>
      <c r="D20" s="8">
        <v>38102430</v>
      </c>
      <c r="E20" s="8">
        <v>336450600</v>
      </c>
      <c r="F20" s="8">
        <f t="shared" si="0"/>
        <v>954831950</v>
      </c>
      <c r="G20" s="8">
        <f>'- 55 -'!D20</f>
        <v>19803752</v>
      </c>
      <c r="H20" s="501">
        <f t="shared" si="1"/>
        <v>20.740562776517898</v>
      </c>
      <c r="J20" s="499">
        <v>12</v>
      </c>
      <c r="K20" s="137">
        <f t="shared" si="2"/>
        <v>20.740562776517898</v>
      </c>
    </row>
    <row r="21" spans="1:11" ht="12" customHeight="1">
      <c r="A21" s="497">
        <v>13</v>
      </c>
      <c r="B21" s="7" t="s">
        <v>453</v>
      </c>
      <c r="C21" s="7">
        <v>265817260</v>
      </c>
      <c r="D21" s="7">
        <v>52642710</v>
      </c>
      <c r="E21" s="7">
        <v>80231020</v>
      </c>
      <c r="F21" s="7">
        <f t="shared" si="0"/>
        <v>398690990</v>
      </c>
      <c r="G21" s="7">
        <f>'- 55 -'!D21</f>
        <v>8328918</v>
      </c>
      <c r="H21" s="498">
        <f t="shared" si="1"/>
        <v>20.890660207796518</v>
      </c>
      <c r="J21" s="499">
        <v>13</v>
      </c>
      <c r="K21" s="137">
        <f t="shared" si="2"/>
        <v>20.890660207796518</v>
      </c>
    </row>
    <row r="22" spans="1:11" ht="12" customHeight="1">
      <c r="A22" s="500">
        <v>14</v>
      </c>
      <c r="B22" s="8" t="s">
        <v>454</v>
      </c>
      <c r="C22" s="8">
        <v>327555510</v>
      </c>
      <c r="D22" s="8">
        <v>51172560</v>
      </c>
      <c r="E22" s="8">
        <v>76066160</v>
      </c>
      <c r="F22" s="8">
        <f t="shared" si="0"/>
        <v>454794230</v>
      </c>
      <c r="G22" s="8">
        <f>'- 55 -'!D22</f>
        <v>10225809</v>
      </c>
      <c r="H22" s="501">
        <f t="shared" si="1"/>
        <v>22.484473912520833</v>
      </c>
      <c r="J22" s="499">
        <v>14</v>
      </c>
      <c r="K22" s="137">
        <f t="shared" si="2"/>
        <v>22.484473912520833</v>
      </c>
    </row>
    <row r="23" spans="1:11" ht="12" customHeight="1">
      <c r="A23" s="497">
        <v>15</v>
      </c>
      <c r="B23" s="7" t="s">
        <v>455</v>
      </c>
      <c r="C23" s="7">
        <v>327999190</v>
      </c>
      <c r="D23" s="7">
        <v>87737940</v>
      </c>
      <c r="E23" s="7">
        <v>137350680</v>
      </c>
      <c r="F23" s="7">
        <f t="shared" si="0"/>
        <v>553087810</v>
      </c>
      <c r="G23" s="7">
        <f>'- 55 -'!D23</f>
        <v>8683479</v>
      </c>
      <c r="H23" s="498">
        <f t="shared" si="1"/>
        <v>15.700000692475937</v>
      </c>
      <c r="I23" s="312"/>
      <c r="J23" s="499">
        <v>15</v>
      </c>
      <c r="K23" s="137">
        <f t="shared" si="2"/>
        <v>15.700000692475937</v>
      </c>
    </row>
    <row r="24" spans="1:11" ht="12" customHeight="1">
      <c r="A24" s="500">
        <v>16</v>
      </c>
      <c r="B24" s="8" t="s">
        <v>456</v>
      </c>
      <c r="C24" s="8">
        <v>37756880</v>
      </c>
      <c r="D24" s="8">
        <v>50289390</v>
      </c>
      <c r="E24" s="8">
        <v>24928860</v>
      </c>
      <c r="F24" s="8">
        <f t="shared" si="0"/>
        <v>112975130</v>
      </c>
      <c r="G24" s="8">
        <f>'- 55 -'!D24</f>
        <v>2266302</v>
      </c>
      <c r="H24" s="501">
        <f t="shared" si="1"/>
        <v>20.06018492742606</v>
      </c>
      <c r="J24" s="499">
        <v>16</v>
      </c>
      <c r="K24" s="137">
        <f t="shared" si="2"/>
        <v>20.06018492742606</v>
      </c>
    </row>
    <row r="25" spans="1:11" ht="12" customHeight="1">
      <c r="A25" s="497">
        <v>17</v>
      </c>
      <c r="B25" s="7" t="s">
        <v>457</v>
      </c>
      <c r="C25" s="7">
        <v>52877550</v>
      </c>
      <c r="D25" s="7">
        <v>54122090</v>
      </c>
      <c r="E25" s="7">
        <v>33388240</v>
      </c>
      <c r="F25" s="7">
        <f t="shared" si="0"/>
        <v>140387880</v>
      </c>
      <c r="G25" s="7">
        <f>'- 55 -'!D25</f>
        <v>2679729</v>
      </c>
      <c r="H25" s="498">
        <f t="shared" si="1"/>
        <v>19.088036659574886</v>
      </c>
      <c r="J25" s="499">
        <v>17</v>
      </c>
      <c r="K25" s="137">
        <f t="shared" si="2"/>
        <v>19.088036659574886</v>
      </c>
    </row>
    <row r="26" spans="1:11" ht="12" customHeight="1">
      <c r="A26" s="500">
        <v>18</v>
      </c>
      <c r="B26" s="8" t="s">
        <v>458</v>
      </c>
      <c r="C26" s="8">
        <v>75422670</v>
      </c>
      <c r="D26" s="8">
        <v>48505820</v>
      </c>
      <c r="E26" s="8">
        <v>38642250</v>
      </c>
      <c r="F26" s="8">
        <f t="shared" si="0"/>
        <v>162570740</v>
      </c>
      <c r="G26" s="8">
        <f>'- 55 -'!D26</f>
        <v>3181040</v>
      </c>
      <c r="H26" s="501">
        <f t="shared" si="1"/>
        <v>19.567112753500417</v>
      </c>
      <c r="J26" s="499">
        <v>18</v>
      </c>
      <c r="K26" s="137">
        <f t="shared" si="2"/>
        <v>19.567112753500417</v>
      </c>
    </row>
    <row r="27" spans="1:11" ht="12" customHeight="1">
      <c r="A27" s="497">
        <v>19</v>
      </c>
      <c r="B27" s="7" t="s">
        <v>459</v>
      </c>
      <c r="C27" s="7">
        <v>96792940</v>
      </c>
      <c r="D27" s="7">
        <v>96819450</v>
      </c>
      <c r="E27" s="7">
        <v>72007970</v>
      </c>
      <c r="F27" s="7">
        <f t="shared" si="0"/>
        <v>265620360</v>
      </c>
      <c r="G27" s="7">
        <f>'- 55 -'!D27</f>
        <v>5270258</v>
      </c>
      <c r="H27" s="498">
        <f t="shared" si="1"/>
        <v>19.841317886927044</v>
      </c>
      <c r="J27" s="499">
        <v>19</v>
      </c>
      <c r="K27" s="137">
        <f t="shared" si="2"/>
        <v>19.841317886927044</v>
      </c>
    </row>
    <row r="28" spans="1:11" ht="12" customHeight="1">
      <c r="A28" s="500">
        <v>20</v>
      </c>
      <c r="B28" s="8" t="s">
        <v>460</v>
      </c>
      <c r="C28" s="8">
        <v>74939990</v>
      </c>
      <c r="D28" s="8">
        <v>53989680</v>
      </c>
      <c r="E28" s="8">
        <v>32793730</v>
      </c>
      <c r="F28" s="8">
        <f t="shared" si="0"/>
        <v>161723400</v>
      </c>
      <c r="G28" s="8">
        <f>'- 55 -'!D28</f>
        <v>3515221</v>
      </c>
      <c r="H28" s="501">
        <f t="shared" si="1"/>
        <v>21.736007281568405</v>
      </c>
      <c r="J28" s="499">
        <v>20</v>
      </c>
      <c r="K28" s="137">
        <f t="shared" si="2"/>
        <v>21.736007281568405</v>
      </c>
    </row>
    <row r="29" spans="1:11" ht="12" customHeight="1">
      <c r="A29" s="497">
        <v>21</v>
      </c>
      <c r="B29" s="7" t="s">
        <v>461</v>
      </c>
      <c r="C29" s="7">
        <v>239393700</v>
      </c>
      <c r="D29" s="7">
        <v>83543480</v>
      </c>
      <c r="E29" s="7">
        <v>89272380</v>
      </c>
      <c r="F29" s="7">
        <f t="shared" si="0"/>
        <v>412209560</v>
      </c>
      <c r="G29" s="7">
        <f>'- 55 -'!D29</f>
        <v>8245000</v>
      </c>
      <c r="H29" s="498">
        <f t="shared" si="1"/>
        <v>20.001962108787577</v>
      </c>
      <c r="J29" s="499">
        <v>21</v>
      </c>
      <c r="K29" s="137">
        <f t="shared" si="2"/>
        <v>20.001962108787577</v>
      </c>
    </row>
    <row r="30" spans="1:11" ht="12" customHeight="1">
      <c r="A30" s="500">
        <v>22</v>
      </c>
      <c r="B30" s="8" t="s">
        <v>462</v>
      </c>
      <c r="C30" s="8">
        <v>234522720</v>
      </c>
      <c r="D30" s="8">
        <v>37155310</v>
      </c>
      <c r="E30" s="8">
        <v>64705750</v>
      </c>
      <c r="F30" s="8">
        <f t="shared" si="0"/>
        <v>336383780</v>
      </c>
      <c r="G30" s="8">
        <f>'- 55 -'!D30</f>
        <v>5579948</v>
      </c>
      <c r="H30" s="501">
        <f t="shared" si="1"/>
        <v>16.588041195089726</v>
      </c>
      <c r="J30" s="499">
        <v>22</v>
      </c>
      <c r="K30" s="137">
        <f t="shared" si="2"/>
        <v>16.588041195089726</v>
      </c>
    </row>
    <row r="31" spans="1:11" ht="12" customHeight="1">
      <c r="A31" s="497">
        <v>23</v>
      </c>
      <c r="B31" s="7" t="s">
        <v>463</v>
      </c>
      <c r="C31" s="7">
        <v>62667940</v>
      </c>
      <c r="D31" s="7">
        <v>46534320</v>
      </c>
      <c r="E31" s="7">
        <v>17851030</v>
      </c>
      <c r="F31" s="7">
        <f t="shared" si="0"/>
        <v>127053290</v>
      </c>
      <c r="G31" s="7">
        <f>'- 55 -'!D31</f>
        <v>2670917</v>
      </c>
      <c r="H31" s="498">
        <f t="shared" si="1"/>
        <v>21.022021547021726</v>
      </c>
      <c r="J31" s="499">
        <v>23</v>
      </c>
      <c r="K31" s="137">
        <f t="shared" si="2"/>
        <v>21.022021547021726</v>
      </c>
    </row>
    <row r="32" spans="1:11" ht="12" customHeight="1">
      <c r="A32" s="500">
        <v>24</v>
      </c>
      <c r="B32" s="8" t="s">
        <v>464</v>
      </c>
      <c r="C32" s="8">
        <v>215708640</v>
      </c>
      <c r="D32" s="8">
        <v>99389440</v>
      </c>
      <c r="E32" s="8">
        <v>152193000</v>
      </c>
      <c r="F32" s="8">
        <f t="shared" si="0"/>
        <v>467291080</v>
      </c>
      <c r="G32" s="8">
        <f>'- 55 -'!D32</f>
        <v>8213199</v>
      </c>
      <c r="H32" s="501">
        <f t="shared" si="1"/>
        <v>17.576194692182014</v>
      </c>
      <c r="J32" s="499">
        <v>24</v>
      </c>
      <c r="K32" s="137">
        <f t="shared" si="2"/>
        <v>17.576194692182014</v>
      </c>
    </row>
    <row r="33" spans="1:11" ht="12" customHeight="1">
      <c r="A33" s="497">
        <v>25</v>
      </c>
      <c r="B33" s="7" t="s">
        <v>465</v>
      </c>
      <c r="C33" s="7">
        <v>85432170</v>
      </c>
      <c r="D33" s="7">
        <v>119623930</v>
      </c>
      <c r="E33" s="7">
        <v>26547330</v>
      </c>
      <c r="F33" s="7">
        <f t="shared" si="0"/>
        <v>231603430</v>
      </c>
      <c r="G33" s="7">
        <f>'- 55 -'!D33</f>
        <v>3934622</v>
      </c>
      <c r="H33" s="498">
        <f t="shared" si="1"/>
        <v>16.988617137492305</v>
      </c>
      <c r="J33" s="499">
        <v>25</v>
      </c>
      <c r="K33" s="137">
        <f t="shared" si="2"/>
        <v>16.988617137492305</v>
      </c>
    </row>
    <row r="34" spans="1:11" ht="12" customHeight="1">
      <c r="A34" s="500">
        <v>26</v>
      </c>
      <c r="B34" s="8" t="s">
        <v>466</v>
      </c>
      <c r="C34" s="8">
        <v>156169920</v>
      </c>
      <c r="D34" s="8">
        <v>64243260</v>
      </c>
      <c r="E34" s="8">
        <v>76551330</v>
      </c>
      <c r="F34" s="8">
        <f t="shared" si="0"/>
        <v>296964510</v>
      </c>
      <c r="G34" s="8">
        <f>'- 55 -'!D34</f>
        <v>4974000</v>
      </c>
      <c r="H34" s="501">
        <f t="shared" si="1"/>
        <v>16.749476225290355</v>
      </c>
      <c r="J34" s="499">
        <v>26</v>
      </c>
      <c r="K34" s="137">
        <f t="shared" si="2"/>
        <v>16.749476225290355</v>
      </c>
    </row>
    <row r="35" spans="1:11" ht="12" customHeight="1">
      <c r="A35" s="497">
        <v>28</v>
      </c>
      <c r="B35" s="7" t="s">
        <v>467</v>
      </c>
      <c r="C35" s="7">
        <v>33969030</v>
      </c>
      <c r="D35" s="7">
        <v>62208460</v>
      </c>
      <c r="E35" s="7">
        <v>23519470</v>
      </c>
      <c r="F35" s="7">
        <f t="shared" si="0"/>
        <v>119696960</v>
      </c>
      <c r="G35" s="7">
        <f>'- 55 -'!D35</f>
        <v>2469829</v>
      </c>
      <c r="H35" s="498">
        <f t="shared" si="1"/>
        <v>20.63401610199624</v>
      </c>
      <c r="J35" s="499">
        <v>28</v>
      </c>
      <c r="K35" s="137">
        <f t="shared" si="2"/>
        <v>20.63401610199624</v>
      </c>
    </row>
    <row r="36" spans="1:11" ht="12" customHeight="1">
      <c r="A36" s="500">
        <v>30</v>
      </c>
      <c r="B36" s="8" t="s">
        <v>468</v>
      </c>
      <c r="C36" s="8">
        <v>49096630</v>
      </c>
      <c r="D36" s="8">
        <v>68936420</v>
      </c>
      <c r="E36" s="8">
        <v>45867060</v>
      </c>
      <c r="F36" s="8">
        <f t="shared" si="0"/>
        <v>163900110</v>
      </c>
      <c r="G36" s="8">
        <f>'- 55 -'!D36</f>
        <v>3318978</v>
      </c>
      <c r="H36" s="501">
        <f t="shared" si="1"/>
        <v>20.250004713236617</v>
      </c>
      <c r="J36" s="499">
        <v>30</v>
      </c>
      <c r="K36" s="137">
        <f t="shared" si="2"/>
        <v>20.250004713236617</v>
      </c>
    </row>
    <row r="37" spans="1:11" ht="12" customHeight="1">
      <c r="A37" s="497">
        <v>31</v>
      </c>
      <c r="B37" s="7" t="s">
        <v>469</v>
      </c>
      <c r="C37" s="7">
        <v>90171650</v>
      </c>
      <c r="D37" s="7">
        <v>77392850</v>
      </c>
      <c r="E37" s="7">
        <v>74969370</v>
      </c>
      <c r="F37" s="7">
        <f t="shared" si="0"/>
        <v>242533870</v>
      </c>
      <c r="G37" s="7">
        <f>'- 55 -'!D37</f>
        <v>3904820</v>
      </c>
      <c r="H37" s="498">
        <f t="shared" si="1"/>
        <v>16.10010181258395</v>
      </c>
      <c r="J37" s="499">
        <v>31</v>
      </c>
      <c r="K37" s="137">
        <f t="shared" si="2"/>
        <v>16.10010181258395</v>
      </c>
    </row>
    <row r="38" spans="1:11" ht="12" customHeight="1">
      <c r="A38" s="500">
        <v>32</v>
      </c>
      <c r="B38" s="8" t="s">
        <v>470</v>
      </c>
      <c r="C38" s="8">
        <v>38924000</v>
      </c>
      <c r="D38" s="8">
        <v>41855460</v>
      </c>
      <c r="E38" s="8">
        <v>10221860</v>
      </c>
      <c r="F38" s="8">
        <f t="shared" si="0"/>
        <v>91001320</v>
      </c>
      <c r="G38" s="8">
        <f>'- 55 -'!D38</f>
        <v>1998517</v>
      </c>
      <c r="H38" s="501">
        <f t="shared" si="1"/>
        <v>21.961406713660857</v>
      </c>
      <c r="J38" s="499">
        <v>32</v>
      </c>
      <c r="K38" s="137">
        <f t="shared" si="2"/>
        <v>21.961406713660857</v>
      </c>
    </row>
    <row r="39" spans="1:11" ht="12" customHeight="1">
      <c r="A39" s="497">
        <v>33</v>
      </c>
      <c r="B39" s="7" t="s">
        <v>471</v>
      </c>
      <c r="C39" s="7">
        <v>124399310</v>
      </c>
      <c r="D39" s="7">
        <v>36026650</v>
      </c>
      <c r="E39" s="7">
        <v>46495100</v>
      </c>
      <c r="F39" s="7">
        <f t="shared" si="0"/>
        <v>206921060</v>
      </c>
      <c r="G39" s="7">
        <f>'- 55 -'!D39</f>
        <v>4250977</v>
      </c>
      <c r="H39" s="498">
        <f t="shared" si="1"/>
        <v>20.54395526487251</v>
      </c>
      <c r="J39" s="499">
        <v>33</v>
      </c>
      <c r="K39" s="137">
        <f t="shared" si="2"/>
        <v>20.54395526487251</v>
      </c>
    </row>
    <row r="40" spans="1:11" ht="12" customHeight="1">
      <c r="A40" s="500">
        <v>34</v>
      </c>
      <c r="B40" s="8" t="s">
        <v>472</v>
      </c>
      <c r="C40" s="8">
        <v>20834040</v>
      </c>
      <c r="D40" s="8">
        <v>22213720</v>
      </c>
      <c r="E40" s="8">
        <v>2715510</v>
      </c>
      <c r="F40" s="8">
        <f t="shared" si="0"/>
        <v>45763270</v>
      </c>
      <c r="G40" s="8">
        <f>'- 55 -'!D40</f>
        <v>1073528</v>
      </c>
      <c r="H40" s="501">
        <f t="shared" si="1"/>
        <v>23.458288710575097</v>
      </c>
      <c r="J40" s="499">
        <v>34</v>
      </c>
      <c r="K40" s="137">
        <f t="shared" si="2"/>
        <v>23.458288710575097</v>
      </c>
    </row>
    <row r="41" spans="1:11" ht="12" customHeight="1">
      <c r="A41" s="497">
        <v>35</v>
      </c>
      <c r="B41" s="7" t="s">
        <v>473</v>
      </c>
      <c r="C41" s="7">
        <v>96259880</v>
      </c>
      <c r="D41" s="7">
        <v>57608780</v>
      </c>
      <c r="E41" s="7">
        <v>47350020</v>
      </c>
      <c r="F41" s="7">
        <f t="shared" si="0"/>
        <v>201218680</v>
      </c>
      <c r="G41" s="7">
        <f>'- 55 -'!D41</f>
        <v>4413369</v>
      </c>
      <c r="H41" s="498">
        <f t="shared" si="1"/>
        <v>21.933197255841257</v>
      </c>
      <c r="J41" s="499">
        <v>35</v>
      </c>
      <c r="K41" s="137">
        <f t="shared" si="2"/>
        <v>21.933197255841257</v>
      </c>
    </row>
    <row r="42" spans="1:11" ht="12" customHeight="1">
      <c r="A42" s="500">
        <v>36</v>
      </c>
      <c r="B42" s="8" t="s">
        <v>474</v>
      </c>
      <c r="C42" s="8">
        <v>60147080</v>
      </c>
      <c r="D42" s="8">
        <v>62776450</v>
      </c>
      <c r="E42" s="8">
        <v>21507200</v>
      </c>
      <c r="F42" s="8">
        <f t="shared" si="0"/>
        <v>144430730</v>
      </c>
      <c r="G42" s="8">
        <f>'- 55 -'!D42</f>
        <v>2856840</v>
      </c>
      <c r="H42" s="501">
        <f t="shared" si="1"/>
        <v>19.78000111195173</v>
      </c>
      <c r="J42" s="499">
        <v>36</v>
      </c>
      <c r="K42" s="137">
        <f t="shared" si="2"/>
        <v>19.78000111195173</v>
      </c>
    </row>
    <row r="43" spans="1:11" ht="12" customHeight="1">
      <c r="A43" s="497">
        <v>37</v>
      </c>
      <c r="B43" s="7" t="s">
        <v>475</v>
      </c>
      <c r="C43" s="7">
        <v>46342980</v>
      </c>
      <c r="D43" s="7">
        <v>50441350</v>
      </c>
      <c r="E43" s="7">
        <v>25365690</v>
      </c>
      <c r="F43" s="7">
        <f aca="true" t="shared" si="3" ref="F43:F62">SUM(C43:E43)</f>
        <v>122150020</v>
      </c>
      <c r="G43" s="7">
        <f>'- 55 -'!D43</f>
        <v>2321229</v>
      </c>
      <c r="H43" s="498">
        <f t="shared" si="1"/>
        <v>19.00309963109298</v>
      </c>
      <c r="J43" s="499">
        <v>37</v>
      </c>
      <c r="K43" s="137">
        <f t="shared" si="2"/>
        <v>19.00309963109298</v>
      </c>
    </row>
    <row r="44" spans="1:11" ht="12" customHeight="1">
      <c r="A44" s="500">
        <v>38</v>
      </c>
      <c r="B44" s="8" t="s">
        <v>476</v>
      </c>
      <c r="C44" s="8">
        <v>45534030</v>
      </c>
      <c r="D44" s="8">
        <v>78143500</v>
      </c>
      <c r="E44" s="8">
        <v>72303690</v>
      </c>
      <c r="F44" s="8">
        <f t="shared" si="3"/>
        <v>195981220</v>
      </c>
      <c r="G44" s="8">
        <f>'- 55 -'!D44</f>
        <v>3727332</v>
      </c>
      <c r="H44" s="501">
        <f t="shared" si="1"/>
        <v>19.01882231368904</v>
      </c>
      <c r="J44" s="499">
        <v>38</v>
      </c>
      <c r="K44" s="137">
        <f t="shared" si="2"/>
        <v>19.01882231368904</v>
      </c>
    </row>
    <row r="45" spans="1:11" ht="12" customHeight="1">
      <c r="A45" s="497">
        <v>39</v>
      </c>
      <c r="B45" s="7" t="s">
        <v>477</v>
      </c>
      <c r="C45" s="7">
        <v>131054740</v>
      </c>
      <c r="D45" s="7">
        <v>78295420</v>
      </c>
      <c r="E45" s="7">
        <v>83714950</v>
      </c>
      <c r="F45" s="7">
        <f t="shared" si="3"/>
        <v>293065110</v>
      </c>
      <c r="G45" s="7">
        <f>'- 55 -'!D45</f>
        <v>5532584</v>
      </c>
      <c r="H45" s="498">
        <f t="shared" si="1"/>
        <v>18.878344133151845</v>
      </c>
      <c r="J45" s="499">
        <v>39</v>
      </c>
      <c r="K45" s="137">
        <f t="shared" si="2"/>
        <v>18.878344133151845</v>
      </c>
    </row>
    <row r="46" spans="1:11" ht="12" customHeight="1">
      <c r="A46" s="500">
        <v>40</v>
      </c>
      <c r="B46" s="8" t="s">
        <v>478</v>
      </c>
      <c r="C46" s="8">
        <v>615893450</v>
      </c>
      <c r="D46" s="8">
        <v>27396400</v>
      </c>
      <c r="E46" s="8">
        <v>389542510</v>
      </c>
      <c r="F46" s="8">
        <f t="shared" si="3"/>
        <v>1032832360</v>
      </c>
      <c r="G46" s="8">
        <f>'- 55 -'!D46</f>
        <v>17086400</v>
      </c>
      <c r="H46" s="501">
        <f t="shared" si="1"/>
        <v>16.543246185663662</v>
      </c>
      <c r="J46" s="499">
        <v>40</v>
      </c>
      <c r="K46" s="137">
        <f t="shared" si="2"/>
        <v>16.543246185663662</v>
      </c>
    </row>
    <row r="47" spans="1:11" ht="12" customHeight="1">
      <c r="A47" s="497">
        <v>41</v>
      </c>
      <c r="B47" s="7" t="s">
        <v>479</v>
      </c>
      <c r="C47" s="7">
        <v>69782290</v>
      </c>
      <c r="D47" s="7">
        <v>74644730</v>
      </c>
      <c r="E47" s="7">
        <v>106258760</v>
      </c>
      <c r="F47" s="7">
        <f t="shared" si="3"/>
        <v>250685780</v>
      </c>
      <c r="G47" s="7">
        <f>'- 55 -'!D47</f>
        <v>4707544</v>
      </c>
      <c r="H47" s="498">
        <f t="shared" si="1"/>
        <v>18.778663871560646</v>
      </c>
      <c r="J47" s="499">
        <v>41</v>
      </c>
      <c r="K47" s="137">
        <f t="shared" si="2"/>
        <v>18.778663871560646</v>
      </c>
    </row>
    <row r="48" spans="1:11" ht="12" customHeight="1">
      <c r="A48" s="500">
        <v>42</v>
      </c>
      <c r="B48" s="8" t="s">
        <v>480</v>
      </c>
      <c r="C48" s="8">
        <v>49590100</v>
      </c>
      <c r="D48" s="8">
        <v>71366500</v>
      </c>
      <c r="E48" s="8">
        <v>47696770</v>
      </c>
      <c r="F48" s="8">
        <f t="shared" si="3"/>
        <v>168653370</v>
      </c>
      <c r="G48" s="8">
        <f>'- 55 -'!D48</f>
        <v>3185643</v>
      </c>
      <c r="H48" s="501">
        <f t="shared" si="1"/>
        <v>18.88870053411918</v>
      </c>
      <c r="J48" s="499">
        <v>42</v>
      </c>
      <c r="K48" s="137">
        <f t="shared" si="2"/>
        <v>18.88870053411918</v>
      </c>
    </row>
    <row r="49" spans="1:11" ht="12" customHeight="1">
      <c r="A49" s="497">
        <v>43</v>
      </c>
      <c r="B49" s="7" t="s">
        <v>481</v>
      </c>
      <c r="C49" s="7">
        <v>37744870</v>
      </c>
      <c r="D49" s="7">
        <v>78135660</v>
      </c>
      <c r="E49" s="7">
        <v>28660840</v>
      </c>
      <c r="F49" s="7">
        <f t="shared" si="3"/>
        <v>144541370</v>
      </c>
      <c r="G49" s="7">
        <f>'- 55 -'!D49</f>
        <v>2820833</v>
      </c>
      <c r="H49" s="498">
        <f t="shared" si="1"/>
        <v>19.515748328661893</v>
      </c>
      <c r="J49" s="499">
        <v>43</v>
      </c>
      <c r="K49" s="137">
        <f t="shared" si="2"/>
        <v>19.515748328661893</v>
      </c>
    </row>
    <row r="50" spans="1:11" ht="12" customHeight="1">
      <c r="A50" s="500">
        <v>44</v>
      </c>
      <c r="B50" s="8" t="s">
        <v>482</v>
      </c>
      <c r="C50" s="8">
        <v>68492010</v>
      </c>
      <c r="D50" s="8">
        <v>74559990</v>
      </c>
      <c r="E50" s="8">
        <v>32709330</v>
      </c>
      <c r="F50" s="8">
        <f t="shared" si="3"/>
        <v>175761330</v>
      </c>
      <c r="G50" s="8">
        <f>'- 55 -'!D50</f>
        <v>3515514</v>
      </c>
      <c r="H50" s="501">
        <f t="shared" si="1"/>
        <v>20.001635171968715</v>
      </c>
      <c r="J50" s="499">
        <v>44</v>
      </c>
      <c r="K50" s="137">
        <f t="shared" si="2"/>
        <v>20.001635171968715</v>
      </c>
    </row>
    <row r="51" spans="1:11" ht="12" customHeight="1">
      <c r="A51" s="497">
        <v>45</v>
      </c>
      <c r="B51" s="7" t="s">
        <v>483</v>
      </c>
      <c r="C51" s="7">
        <v>76525420</v>
      </c>
      <c r="D51" s="7">
        <v>6437720</v>
      </c>
      <c r="E51" s="7">
        <v>58621770</v>
      </c>
      <c r="F51" s="7">
        <f t="shared" si="3"/>
        <v>141584910</v>
      </c>
      <c r="G51" s="7">
        <f>'- 55 -'!D51</f>
        <v>2975475</v>
      </c>
      <c r="H51" s="498">
        <f t="shared" si="1"/>
        <v>21.015481098939144</v>
      </c>
      <c r="J51" s="499">
        <v>45</v>
      </c>
      <c r="K51" s="137">
        <f t="shared" si="2"/>
        <v>21.015481098939144</v>
      </c>
    </row>
    <row r="52" spans="1:11" ht="12" customHeight="1">
      <c r="A52" s="500">
        <v>46</v>
      </c>
      <c r="B52" s="8" t="s">
        <v>484</v>
      </c>
      <c r="C52" s="8">
        <v>50788040</v>
      </c>
      <c r="D52" s="8">
        <v>0</v>
      </c>
      <c r="E52" s="8">
        <v>19925820</v>
      </c>
      <c r="F52" s="8">
        <f t="shared" si="3"/>
        <v>70713860</v>
      </c>
      <c r="G52" s="8">
        <f>'- 55 -'!D52</f>
        <v>2983511</v>
      </c>
      <c r="H52" s="501">
        <f>(G52-I52)/F52*1000</f>
        <v>22.787527084506486</v>
      </c>
      <c r="I52" s="67">
        <v>1372117</v>
      </c>
      <c r="J52" s="499">
        <v>46</v>
      </c>
      <c r="K52" s="137">
        <f t="shared" si="2"/>
        <v>22.787527084506486</v>
      </c>
    </row>
    <row r="53" spans="1:11" ht="12" customHeight="1">
      <c r="A53" s="497">
        <v>47</v>
      </c>
      <c r="B53" s="7" t="s">
        <v>485</v>
      </c>
      <c r="C53" s="7">
        <v>103030210</v>
      </c>
      <c r="D53" s="7">
        <v>22994450</v>
      </c>
      <c r="E53" s="7">
        <v>41986850</v>
      </c>
      <c r="F53" s="7">
        <f t="shared" si="3"/>
        <v>168011510</v>
      </c>
      <c r="G53" s="7">
        <f>'- 55 -'!D53</f>
        <v>3262852</v>
      </c>
      <c r="H53" s="498">
        <f>G53/F53*1000</f>
        <v>19.42040756612449</v>
      </c>
      <c r="I53" s="67" t="s">
        <v>499</v>
      </c>
      <c r="J53" s="499">
        <v>47</v>
      </c>
      <c r="K53" s="137">
        <f t="shared" si="2"/>
        <v>19.42040756612449</v>
      </c>
    </row>
    <row r="54" spans="1:11" ht="12" customHeight="1">
      <c r="A54" s="500">
        <v>48</v>
      </c>
      <c r="B54" s="8" t="s">
        <v>486</v>
      </c>
      <c r="C54" s="8">
        <v>34621120</v>
      </c>
      <c r="D54" s="8">
        <v>5782690</v>
      </c>
      <c r="E54" s="8">
        <v>23474660</v>
      </c>
      <c r="F54" s="8">
        <f t="shared" si="3"/>
        <v>63878470</v>
      </c>
      <c r="G54" s="8">
        <f>'- 55 -'!D54</f>
        <v>1307573</v>
      </c>
      <c r="H54" s="501">
        <f>G54/F54*1000</f>
        <v>20.46969816277691</v>
      </c>
      <c r="J54" s="499">
        <v>48</v>
      </c>
      <c r="K54" s="137">
        <f t="shared" si="2"/>
        <v>20.46969816277691</v>
      </c>
    </row>
    <row r="55" spans="1:11" ht="12.75">
      <c r="A55" s="497">
        <v>49</v>
      </c>
      <c r="B55" s="7" t="s">
        <v>487</v>
      </c>
      <c r="C55" s="7"/>
      <c r="D55" s="7"/>
      <c r="E55" s="7"/>
      <c r="F55" s="7">
        <f t="shared" si="3"/>
        <v>0</v>
      </c>
      <c r="G55" s="7">
        <f>'- 55 -'!D55</f>
        <v>0</v>
      </c>
      <c r="H55" s="498"/>
      <c r="J55" s="499">
        <v>50</v>
      </c>
      <c r="K55" s="137">
        <f aca="true" t="shared" si="4" ref="K55:K61">H56</f>
        <v>21.20034328261753</v>
      </c>
    </row>
    <row r="56" spans="1:11" ht="12.75">
      <c r="A56" s="500">
        <v>50</v>
      </c>
      <c r="B56" s="8" t="s">
        <v>488</v>
      </c>
      <c r="C56" s="8">
        <v>72625850</v>
      </c>
      <c r="D56" s="8">
        <v>140457350</v>
      </c>
      <c r="E56" s="8">
        <v>44710220</v>
      </c>
      <c r="F56" s="8">
        <f t="shared" si="3"/>
        <v>257793420</v>
      </c>
      <c r="G56" s="8">
        <f>'- 55 -'!D56</f>
        <v>5465309</v>
      </c>
      <c r="H56" s="501">
        <f>G56/F56*1000</f>
        <v>21.20034328261753</v>
      </c>
      <c r="J56" s="499">
        <v>2264</v>
      </c>
      <c r="K56" s="137">
        <f t="shared" si="4"/>
        <v>22.972122058491355</v>
      </c>
    </row>
    <row r="57" spans="1:11" ht="12.75">
      <c r="A57" s="497">
        <v>2264</v>
      </c>
      <c r="B57" s="7" t="s">
        <v>489</v>
      </c>
      <c r="C57" s="7">
        <v>7006420</v>
      </c>
      <c r="D57" s="7">
        <v>2150</v>
      </c>
      <c r="E57" s="7">
        <v>13843400</v>
      </c>
      <c r="F57" s="7">
        <f t="shared" si="3"/>
        <v>20851970</v>
      </c>
      <c r="G57" s="7">
        <f>'- 55 -'!D57</f>
        <v>479014</v>
      </c>
      <c r="H57" s="498">
        <f>G57/F57*1000</f>
        <v>22.972122058491355</v>
      </c>
      <c r="J57" s="499">
        <v>2309</v>
      </c>
      <c r="K57" s="137">
        <f t="shared" si="4"/>
        <v>27.636571782501203</v>
      </c>
    </row>
    <row r="58" spans="1:11" ht="12.75">
      <c r="A58" s="500">
        <v>2309</v>
      </c>
      <c r="B58" s="8" t="s">
        <v>490</v>
      </c>
      <c r="C58" s="8">
        <v>9087990</v>
      </c>
      <c r="D58" s="8">
        <v>1170</v>
      </c>
      <c r="E58" s="8">
        <v>2406260</v>
      </c>
      <c r="F58" s="8">
        <f t="shared" si="3"/>
        <v>11495420</v>
      </c>
      <c r="G58" s="8">
        <f>'- 55 -'!D58</f>
        <v>578010</v>
      </c>
      <c r="H58" s="501">
        <f>(G58-I58)/F58*1000</f>
        <v>27.636571782501203</v>
      </c>
      <c r="I58" s="502">
        <f>80316+180000</f>
        <v>260316</v>
      </c>
      <c r="J58" s="499">
        <v>2312</v>
      </c>
      <c r="K58" s="137">
        <f t="shared" si="4"/>
        <v>42.925455653711765</v>
      </c>
    </row>
    <row r="59" spans="1:11" ht="12.75">
      <c r="A59" s="497">
        <v>2312</v>
      </c>
      <c r="B59" s="7" t="s">
        <v>491</v>
      </c>
      <c r="C59" s="7">
        <v>1211300</v>
      </c>
      <c r="D59" s="7">
        <v>0</v>
      </c>
      <c r="E59" s="7">
        <v>1118320</v>
      </c>
      <c r="F59" s="7">
        <f t="shared" si="3"/>
        <v>2329620</v>
      </c>
      <c r="G59" s="7">
        <f>'- 55 -'!D59</f>
        <v>100000</v>
      </c>
      <c r="H59" s="498">
        <f>G59/F59*1000</f>
        <v>42.925455653711765</v>
      </c>
      <c r="I59" s="67" t="s">
        <v>500</v>
      </c>
      <c r="J59" s="499">
        <v>2355</v>
      </c>
      <c r="K59" s="137">
        <f t="shared" si="4"/>
        <v>32.66269617330978</v>
      </c>
    </row>
    <row r="60" spans="1:11" ht="12.75">
      <c r="A60" s="500">
        <v>2355</v>
      </c>
      <c r="B60" s="8" t="s">
        <v>492</v>
      </c>
      <c r="C60" s="8">
        <v>129750670</v>
      </c>
      <c r="D60" s="8">
        <v>0</v>
      </c>
      <c r="E60" s="8">
        <v>55124760</v>
      </c>
      <c r="F60" s="8">
        <f t="shared" si="3"/>
        <v>184875430</v>
      </c>
      <c r="G60" s="8">
        <f>'- 55 -'!D60</f>
        <v>6038530</v>
      </c>
      <c r="H60" s="501">
        <f>G60/F60*1000</f>
        <v>32.66269617330978</v>
      </c>
      <c r="J60" s="499">
        <v>2439</v>
      </c>
      <c r="K60" s="137">
        <f t="shared" si="4"/>
        <v>18.7805531829829</v>
      </c>
    </row>
    <row r="61" spans="1:11" ht="12.75">
      <c r="A61" s="497">
        <v>2439</v>
      </c>
      <c r="B61" s="7" t="s">
        <v>493</v>
      </c>
      <c r="C61" s="7">
        <v>6314660</v>
      </c>
      <c r="D61" s="7">
        <v>2502210</v>
      </c>
      <c r="E61" s="7">
        <v>4389610</v>
      </c>
      <c r="F61" s="7">
        <f t="shared" si="3"/>
        <v>13206480</v>
      </c>
      <c r="G61" s="7">
        <f>'- 55 -'!D61</f>
        <v>248025</v>
      </c>
      <c r="H61" s="498">
        <f>G61/F61*1000</f>
        <v>18.7805531829829</v>
      </c>
      <c r="J61" s="499">
        <v>2460</v>
      </c>
      <c r="K61" s="137">
        <f t="shared" si="4"/>
        <v>35.5146493302956</v>
      </c>
    </row>
    <row r="62" spans="1:8" ht="12.75">
      <c r="A62" s="500">
        <v>2460</v>
      </c>
      <c r="B62" s="8" t="s">
        <v>494</v>
      </c>
      <c r="C62" s="8">
        <v>6861660</v>
      </c>
      <c r="D62" s="8">
        <v>2860</v>
      </c>
      <c r="E62" s="8">
        <v>6917680</v>
      </c>
      <c r="F62" s="8">
        <f t="shared" si="3"/>
        <v>13782200</v>
      </c>
      <c r="G62" s="8">
        <f>'- 55 -'!D62</f>
        <v>489470</v>
      </c>
      <c r="H62" s="501">
        <f>G62/F62*1000</f>
        <v>35.5146493302956</v>
      </c>
    </row>
    <row r="63" spans="1:8" ht="12.75">
      <c r="A63" s="497">
        <v>3000</v>
      </c>
      <c r="B63" s="7" t="s">
        <v>495</v>
      </c>
      <c r="C63" s="7"/>
      <c r="D63" s="7"/>
      <c r="E63" s="7"/>
      <c r="F63" s="7"/>
      <c r="G63" s="7">
        <f>'- 55 -'!D63</f>
        <v>0</v>
      </c>
      <c r="H63" s="7"/>
    </row>
    <row r="64" spans="2:8" ht="4.5" customHeight="1">
      <c r="B64" s="9"/>
      <c r="H64" s="137"/>
    </row>
    <row r="65" spans="1:8" ht="12.75">
      <c r="A65" s="503"/>
      <c r="B65" s="11" t="s">
        <v>408</v>
      </c>
      <c r="C65" s="11">
        <f>SUM(C11:C63)</f>
        <v>13378291930</v>
      </c>
      <c r="D65" s="11">
        <f>SUM(D11:D63)</f>
        <v>2184075350</v>
      </c>
      <c r="E65" s="11">
        <f>SUM(E11:E63)</f>
        <v>6813244330</v>
      </c>
      <c r="F65" s="11">
        <f>SUM(F11:F63)</f>
        <v>22375611610</v>
      </c>
      <c r="G65" s="11">
        <f>SUM(G11:G63)</f>
        <v>486442508</v>
      </c>
      <c r="H65" s="504">
        <f>G65/F65*1000</f>
        <v>21.739853036356845</v>
      </c>
    </row>
    <row r="66" ht="4.5" customHeight="1">
      <c r="B66" s="9"/>
    </row>
    <row r="67" spans="1:6" ht="12" customHeight="1">
      <c r="A67" s="505"/>
      <c r="B67" s="8" t="s">
        <v>496</v>
      </c>
      <c r="C67" s="493">
        <v>17332120</v>
      </c>
      <c r="D67" s="493">
        <v>191910</v>
      </c>
      <c r="E67" s="493">
        <v>1348600</v>
      </c>
      <c r="F67" s="493">
        <f>SUM(C67:E67)</f>
        <v>18872630</v>
      </c>
    </row>
    <row r="68" spans="1:8" ht="12" customHeight="1">
      <c r="A68" s="506"/>
      <c r="B68" s="7" t="s">
        <v>497</v>
      </c>
      <c r="C68" s="495">
        <v>6872640</v>
      </c>
      <c r="D68" s="495">
        <v>10854590</v>
      </c>
      <c r="E68" s="495">
        <v>26403690</v>
      </c>
      <c r="F68" s="495">
        <f>SUM(C68:E68)</f>
        <v>44130920</v>
      </c>
      <c r="H68" s="507"/>
    </row>
    <row r="69" spans="3:6" ht="4.5" customHeight="1">
      <c r="C69" s="9"/>
      <c r="D69" s="9"/>
      <c r="E69" s="9"/>
      <c r="F69" s="9"/>
    </row>
    <row r="70" spans="1:8" ht="12" customHeight="1">
      <c r="A70" s="3"/>
      <c r="B70" s="496" t="s">
        <v>498</v>
      </c>
      <c r="C70" s="11">
        <f>SUM(C65,C67:C68)</f>
        <v>13402496690</v>
      </c>
      <c r="D70" s="11">
        <f>SUM(D65,D67:D68)</f>
        <v>2195121850</v>
      </c>
      <c r="E70" s="11">
        <f>SUM(E65,E67:E68)</f>
        <v>6840996620</v>
      </c>
      <c r="F70" s="11">
        <f>SUM(F65,F67:F68)</f>
        <v>22438615160</v>
      </c>
      <c r="G70" s="9"/>
      <c r="H70" s="508"/>
    </row>
    <row r="71" spans="1:8" ht="16.5" customHeight="1">
      <c r="A71" s="483" t="s">
        <v>243</v>
      </c>
      <c r="B71" s="519" t="s">
        <v>516</v>
      </c>
      <c r="C71" s="520"/>
      <c r="D71" s="520"/>
      <c r="E71" s="520"/>
      <c r="F71" s="520"/>
      <c r="G71" s="521"/>
      <c r="H71" s="508"/>
    </row>
    <row r="72" spans="2:8" ht="12.75" customHeight="1">
      <c r="B72" s="480" t="s">
        <v>541</v>
      </c>
      <c r="C72" s="520"/>
      <c r="D72" s="520"/>
      <c r="E72" s="520"/>
      <c r="F72" s="520"/>
      <c r="G72" s="521"/>
      <c r="H72" s="508"/>
    </row>
    <row r="73" spans="2:11" ht="12.75" customHeight="1">
      <c r="B73" s="480" t="s">
        <v>542</v>
      </c>
      <c r="C73" s="99"/>
      <c r="D73" s="99"/>
      <c r="E73" s="99"/>
      <c r="F73" s="99"/>
      <c r="G73" s="99"/>
      <c r="H73" s="99"/>
      <c r="I73" s="100"/>
      <c r="J73" s="100"/>
      <c r="K73" s="100"/>
    </row>
    <row r="74" spans="1:11" ht="12.75" customHeight="1">
      <c r="A74" s="483" t="s">
        <v>513</v>
      </c>
      <c r="B74" s="478" t="s">
        <v>515</v>
      </c>
      <c r="C74" s="99"/>
      <c r="D74" s="99"/>
      <c r="E74" s="99"/>
      <c r="F74" s="99"/>
      <c r="G74" s="99"/>
      <c r="H74" s="99"/>
      <c r="I74" s="100"/>
      <c r="J74" s="100"/>
      <c r="K74" s="100"/>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J74"/>
  <sheetViews>
    <sheetView showGridLines="0" showZeros="0" workbookViewId="0" topLeftCell="A1">
      <selection activeCell="A1" sqref="A1"/>
    </sheetView>
  </sheetViews>
  <sheetFormatPr defaultColWidth="15.83203125" defaultRowHeight="12"/>
  <cols>
    <col min="1" max="1" width="6.83203125" style="67" customWidth="1"/>
    <col min="2" max="2" width="31.83203125" style="67" customWidth="1"/>
    <col min="3" max="4" width="21.83203125" style="67" customWidth="1"/>
    <col min="5" max="5" width="23.83203125" style="67" customWidth="1"/>
    <col min="6" max="6" width="4.83203125" style="67" customWidth="1"/>
    <col min="7" max="7" width="26.83203125" style="67" customWidth="1"/>
    <col min="8" max="16384" width="15.83203125" style="67" customWidth="1"/>
  </cols>
  <sheetData>
    <row r="1" spans="1:2" ht="6.75" customHeight="1">
      <c r="A1" s="9"/>
      <c r="B1" s="65"/>
    </row>
    <row r="2" spans="1:7" ht="13.5" customHeight="1">
      <c r="A2" s="5"/>
      <c r="B2" s="68"/>
      <c r="C2" s="516" t="s">
        <v>518</v>
      </c>
      <c r="D2" s="345"/>
      <c r="E2" s="345"/>
      <c r="F2" s="346"/>
      <c r="G2" s="346"/>
    </row>
    <row r="3" spans="1:7" ht="15.75" customHeight="1">
      <c r="A3" s="114"/>
      <c r="B3" s="114"/>
      <c r="C3" s="517" t="s">
        <v>507</v>
      </c>
      <c r="D3" s="114"/>
      <c r="E3" s="114"/>
      <c r="F3" s="259"/>
      <c r="G3" s="259"/>
    </row>
    <row r="4" spans="1:7" ht="4.5" customHeight="1">
      <c r="A4" s="488"/>
      <c r="C4" s="116"/>
      <c r="D4" s="116"/>
      <c r="E4" s="116"/>
      <c r="F4" s="116"/>
      <c r="G4" s="116"/>
    </row>
    <row r="5" spans="1:7" ht="4.5" customHeight="1">
      <c r="A5" s="488"/>
      <c r="C5" s="43"/>
      <c r="D5" s="116"/>
      <c r="E5" s="116"/>
      <c r="F5" s="116"/>
      <c r="G5" s="116"/>
    </row>
    <row r="6" spans="1:7" ht="4.5" customHeight="1">
      <c r="A6" s="488"/>
      <c r="C6" s="116"/>
      <c r="D6" s="116"/>
      <c r="E6" s="116"/>
      <c r="F6" s="116"/>
      <c r="G6" s="116"/>
    </row>
    <row r="7" spans="1:7" ht="15.75" customHeight="1">
      <c r="A7" s="9"/>
      <c r="C7" s="117" t="s">
        <v>109</v>
      </c>
      <c r="D7" s="118"/>
      <c r="E7" s="118"/>
      <c r="F7" s="116"/>
      <c r="G7" s="118" t="s">
        <v>154</v>
      </c>
    </row>
    <row r="8" spans="1:7" ht="15.75" customHeight="1">
      <c r="A8" s="489"/>
      <c r="B8" s="35"/>
      <c r="C8" s="119" t="s">
        <v>181</v>
      </c>
      <c r="D8" s="120"/>
      <c r="E8" s="120"/>
      <c r="F8" s="116"/>
      <c r="G8" s="119" t="s">
        <v>87</v>
      </c>
    </row>
    <row r="9" spans="1:9" ht="15.75" customHeight="1">
      <c r="A9" s="490" t="s">
        <v>442</v>
      </c>
      <c r="B9" s="491" t="s">
        <v>112</v>
      </c>
      <c r="C9" s="121" t="s">
        <v>179</v>
      </c>
      <c r="D9" s="121" t="s">
        <v>194</v>
      </c>
      <c r="E9" s="121" t="s">
        <v>81</v>
      </c>
      <c r="F9" s="116"/>
      <c r="G9" s="121" t="s">
        <v>509</v>
      </c>
      <c r="H9" s="509"/>
      <c r="I9" s="10"/>
    </row>
    <row r="10" spans="1:9" ht="4.5" customHeight="1">
      <c r="A10" s="62"/>
      <c r="B10" s="62"/>
      <c r="C10" s="122"/>
      <c r="D10" s="122"/>
      <c r="E10" s="122"/>
      <c r="F10" s="2"/>
      <c r="G10" s="122"/>
      <c r="H10" s="10"/>
      <c r="I10" s="10"/>
    </row>
    <row r="11" spans="1:10" ht="12.75" customHeight="1">
      <c r="A11" s="510">
        <v>1</v>
      </c>
      <c r="B11" s="7" t="s">
        <v>443</v>
      </c>
      <c r="C11" s="7">
        <f>'- 51 -'!H11</f>
        <v>47168864.220800005</v>
      </c>
      <c r="D11" s="7">
        <v>107748572</v>
      </c>
      <c r="E11" s="7">
        <f aca="true" t="shared" si="0" ref="E11:E42">SUM(C11,D11)</f>
        <v>154917436.2208</v>
      </c>
      <c r="G11" s="7">
        <v>135900</v>
      </c>
      <c r="H11" s="511"/>
      <c r="I11" s="10"/>
      <c r="J11" s="534">
        <v>1</v>
      </c>
    </row>
    <row r="12" spans="1:10" ht="12.75" customHeight="1">
      <c r="A12" s="512">
        <v>2</v>
      </c>
      <c r="B12" s="8" t="s">
        <v>444</v>
      </c>
      <c r="C12" s="8">
        <f>'- 51 -'!H12</f>
        <v>16909791.632799998</v>
      </c>
      <c r="D12" s="8">
        <v>27188910</v>
      </c>
      <c r="E12" s="8">
        <f t="shared" si="0"/>
        <v>44098701.6328</v>
      </c>
      <c r="G12" s="8">
        <v>177116</v>
      </c>
      <c r="H12" s="511"/>
      <c r="I12" s="10"/>
      <c r="J12" s="534">
        <v>2</v>
      </c>
    </row>
    <row r="13" spans="1:10" ht="12.75" customHeight="1">
      <c r="A13" s="510">
        <v>3</v>
      </c>
      <c r="B13" s="7" t="s">
        <v>445</v>
      </c>
      <c r="C13" s="7">
        <f>'- 51 -'!H13</f>
        <v>7959326.0256</v>
      </c>
      <c r="D13" s="7">
        <v>22983747</v>
      </c>
      <c r="E13" s="7">
        <f t="shared" si="0"/>
        <v>30943073.0256</v>
      </c>
      <c r="G13" s="7">
        <v>162696</v>
      </c>
      <c r="H13" s="511"/>
      <c r="I13" s="10"/>
      <c r="J13" s="534">
        <v>3</v>
      </c>
    </row>
    <row r="14" spans="1:10" ht="12.75" customHeight="1">
      <c r="A14" s="512">
        <v>4</v>
      </c>
      <c r="B14" s="8" t="s">
        <v>446</v>
      </c>
      <c r="C14" s="8">
        <f>'- 51 -'!H14</f>
        <v>9372003.2424</v>
      </c>
      <c r="D14" s="8">
        <v>21210404</v>
      </c>
      <c r="E14" s="8">
        <f t="shared" si="0"/>
        <v>30582407.242399998</v>
      </c>
      <c r="G14" s="8">
        <v>139853</v>
      </c>
      <c r="H14" s="511"/>
      <c r="I14" s="10"/>
      <c r="J14" s="534">
        <v>4</v>
      </c>
    </row>
    <row r="15" spans="1:10" ht="12.75" customHeight="1">
      <c r="A15" s="510">
        <v>5</v>
      </c>
      <c r="B15" s="7" t="s">
        <v>447</v>
      </c>
      <c r="C15" s="7">
        <f>'- 51 -'!H15</f>
        <v>12071183.349</v>
      </c>
      <c r="D15" s="7">
        <v>26600023</v>
      </c>
      <c r="E15" s="7">
        <f t="shared" si="0"/>
        <v>38671206.349</v>
      </c>
      <c r="G15" s="7">
        <v>164768</v>
      </c>
      <c r="H15" s="511"/>
      <c r="I15" s="10"/>
      <c r="J15" s="534">
        <v>5</v>
      </c>
    </row>
    <row r="16" spans="1:10" ht="12.75" customHeight="1">
      <c r="A16" s="512">
        <v>6</v>
      </c>
      <c r="B16" s="8" t="s">
        <v>448</v>
      </c>
      <c r="C16" s="8">
        <f>'- 51 -'!H16</f>
        <v>9242654.0926</v>
      </c>
      <c r="D16" s="8">
        <v>24105260</v>
      </c>
      <c r="E16" s="8">
        <f t="shared" si="0"/>
        <v>33347914.0926</v>
      </c>
      <c r="G16" s="8">
        <v>114613</v>
      </c>
      <c r="H16" s="511"/>
      <c r="I16" s="10"/>
      <c r="J16" s="534">
        <v>6</v>
      </c>
    </row>
    <row r="17" spans="1:10" ht="12.75" customHeight="1">
      <c r="A17" s="510">
        <v>9</v>
      </c>
      <c r="B17" s="7" t="s">
        <v>449</v>
      </c>
      <c r="C17" s="7">
        <f>'- 51 -'!H17</f>
        <v>10638653.541000001</v>
      </c>
      <c r="D17" s="7">
        <v>30650482</v>
      </c>
      <c r="E17" s="7">
        <f t="shared" si="0"/>
        <v>41289135.541</v>
      </c>
      <c r="G17" s="7">
        <v>110724</v>
      </c>
      <c r="H17" s="511"/>
      <c r="I17" s="10"/>
      <c r="J17" s="534">
        <v>9</v>
      </c>
    </row>
    <row r="18" spans="1:10" ht="12.75" customHeight="1">
      <c r="A18" s="512">
        <v>10</v>
      </c>
      <c r="B18" s="8" t="s">
        <v>450</v>
      </c>
      <c r="C18" s="8">
        <f>'- 51 -'!H18</f>
        <v>7430179.215600001</v>
      </c>
      <c r="D18" s="8">
        <v>24460476</v>
      </c>
      <c r="E18" s="8">
        <f t="shared" si="0"/>
        <v>31890655.2156</v>
      </c>
      <c r="G18" s="8">
        <v>105383</v>
      </c>
      <c r="H18" s="511"/>
      <c r="I18" s="10"/>
      <c r="J18" s="534">
        <v>10</v>
      </c>
    </row>
    <row r="19" spans="1:10" ht="12.75" customHeight="1">
      <c r="A19" s="510">
        <v>11</v>
      </c>
      <c r="B19" s="7" t="s">
        <v>451</v>
      </c>
      <c r="C19" s="7">
        <f>'- 51 -'!H19</f>
        <v>5117785.0202</v>
      </c>
      <c r="D19" s="7">
        <v>12810734</v>
      </c>
      <c r="E19" s="7">
        <f t="shared" si="0"/>
        <v>17928519.0202</v>
      </c>
      <c r="G19" s="7">
        <v>140764</v>
      </c>
      <c r="H19" s="511"/>
      <c r="I19" s="10"/>
      <c r="J19" s="534">
        <v>11</v>
      </c>
    </row>
    <row r="20" spans="1:10" ht="12.75" customHeight="1">
      <c r="A20" s="512">
        <v>12</v>
      </c>
      <c r="B20" s="8" t="s">
        <v>452</v>
      </c>
      <c r="C20" s="8">
        <f>'- 51 -'!H20</f>
        <v>9404486.9288</v>
      </c>
      <c r="D20" s="8">
        <v>19803752</v>
      </c>
      <c r="E20" s="8">
        <f t="shared" si="0"/>
        <v>29208238.9288</v>
      </c>
      <c r="G20" s="8">
        <v>121313</v>
      </c>
      <c r="H20" s="511"/>
      <c r="I20" s="10"/>
      <c r="J20" s="534">
        <v>12</v>
      </c>
    </row>
    <row r="21" spans="1:10" ht="12.75" customHeight="1">
      <c r="A21" s="510">
        <v>13</v>
      </c>
      <c r="B21" s="7" t="s">
        <v>453</v>
      </c>
      <c r="C21" s="7">
        <f>'- 51 -'!H21</f>
        <v>3088838.4364</v>
      </c>
      <c r="D21" s="7">
        <v>8328918</v>
      </c>
      <c r="E21" s="7">
        <f t="shared" si="0"/>
        <v>11417756.4364</v>
      </c>
      <c r="G21" s="7">
        <v>149980</v>
      </c>
      <c r="H21" s="511"/>
      <c r="I21" s="10"/>
      <c r="J21" s="534">
        <v>13</v>
      </c>
    </row>
    <row r="22" spans="1:10" ht="12.75" customHeight="1">
      <c r="A22" s="512">
        <v>14</v>
      </c>
      <c r="B22" s="8" t="s">
        <v>454</v>
      </c>
      <c r="C22" s="8">
        <f>'- 51 -'!H22</f>
        <v>3430060.2264</v>
      </c>
      <c r="D22" s="8">
        <v>10225809</v>
      </c>
      <c r="E22" s="8">
        <f t="shared" si="0"/>
        <v>13655869.2264</v>
      </c>
      <c r="G22" s="8">
        <v>90418</v>
      </c>
      <c r="H22" s="511"/>
      <c r="I22" s="10"/>
      <c r="J22" s="534">
        <v>14</v>
      </c>
    </row>
    <row r="23" spans="1:10" ht="12.75" customHeight="1">
      <c r="A23" s="510">
        <v>15</v>
      </c>
      <c r="B23" s="7" t="s">
        <v>455</v>
      </c>
      <c r="C23" s="7">
        <f>'- 51 -'!H23</f>
        <v>4444200.841600001</v>
      </c>
      <c r="D23" s="7">
        <v>8683479</v>
      </c>
      <c r="E23" s="7">
        <f t="shared" si="0"/>
        <v>13127679.8416</v>
      </c>
      <c r="G23" s="7">
        <v>93790</v>
      </c>
      <c r="H23" s="511"/>
      <c r="I23" s="10"/>
      <c r="J23" s="534">
        <v>15</v>
      </c>
    </row>
    <row r="24" spans="1:10" ht="12.75" customHeight="1">
      <c r="A24" s="512">
        <v>16</v>
      </c>
      <c r="B24" s="8" t="s">
        <v>456</v>
      </c>
      <c r="C24" s="8">
        <f>'- 51 -'!H24</f>
        <v>662031.8732</v>
      </c>
      <c r="D24" s="8">
        <v>2266302</v>
      </c>
      <c r="E24" s="8">
        <f t="shared" si="0"/>
        <v>2928333.8732000003</v>
      </c>
      <c r="G24" s="8">
        <v>141733</v>
      </c>
      <c r="H24" s="511"/>
      <c r="I24" s="10"/>
      <c r="J24" s="534">
        <v>16</v>
      </c>
    </row>
    <row r="25" spans="1:10" ht="12.75" customHeight="1">
      <c r="A25" s="510">
        <v>17</v>
      </c>
      <c r="B25" s="7" t="s">
        <v>457</v>
      </c>
      <c r="C25" s="7">
        <f>'- 51 -'!H25</f>
        <v>902012.892</v>
      </c>
      <c r="D25" s="7">
        <v>2679729</v>
      </c>
      <c r="E25" s="7">
        <f t="shared" si="0"/>
        <v>3581741.892</v>
      </c>
      <c r="G25" s="7">
        <v>123061</v>
      </c>
      <c r="H25" s="511"/>
      <c r="I25" s="10"/>
      <c r="J25" s="534">
        <v>17</v>
      </c>
    </row>
    <row r="26" spans="1:10" ht="12.75" customHeight="1">
      <c r="A26" s="512">
        <v>18</v>
      </c>
      <c r="B26" s="8" t="s">
        <v>458</v>
      </c>
      <c r="C26" s="8">
        <f>'- 51 -'!H26</f>
        <v>1138403.6538</v>
      </c>
      <c r="D26" s="8">
        <v>3181040</v>
      </c>
      <c r="E26" s="8">
        <f t="shared" si="0"/>
        <v>4319443.6537999995</v>
      </c>
      <c r="G26" s="8">
        <v>121394</v>
      </c>
      <c r="H26" s="511"/>
      <c r="I26" s="10"/>
      <c r="J26" s="534">
        <v>18</v>
      </c>
    </row>
    <row r="27" spans="1:10" ht="12.75" customHeight="1">
      <c r="A27" s="510">
        <v>19</v>
      </c>
      <c r="B27" s="7" t="s">
        <v>459</v>
      </c>
      <c r="C27" s="7">
        <f>'- 51 -'!H27</f>
        <v>1830836.6266</v>
      </c>
      <c r="D27" s="7">
        <v>5270258</v>
      </c>
      <c r="E27" s="7">
        <f t="shared" si="0"/>
        <v>7101094.6266</v>
      </c>
      <c r="G27" s="7">
        <v>173949</v>
      </c>
      <c r="H27" s="511"/>
      <c r="I27" s="10"/>
      <c r="J27" s="534">
        <v>19</v>
      </c>
    </row>
    <row r="28" spans="1:10" ht="12.75" customHeight="1">
      <c r="A28" s="512">
        <v>20</v>
      </c>
      <c r="B28" s="8" t="s">
        <v>460</v>
      </c>
      <c r="C28" s="8">
        <f>'- 51 -'!H28</f>
        <v>1038698.0786000001</v>
      </c>
      <c r="D28" s="8">
        <v>3515221</v>
      </c>
      <c r="E28" s="8">
        <f t="shared" si="0"/>
        <v>4553919.078600001</v>
      </c>
      <c r="G28" s="8">
        <v>141788</v>
      </c>
      <c r="H28" s="511"/>
      <c r="I28" s="10"/>
      <c r="J28" s="534">
        <v>20</v>
      </c>
    </row>
    <row r="29" spans="1:10" ht="12.75" customHeight="1">
      <c r="A29" s="510">
        <v>21</v>
      </c>
      <c r="B29" s="7" t="s">
        <v>461</v>
      </c>
      <c r="C29" s="7">
        <f>'- 51 -'!H29</f>
        <v>3062568.438</v>
      </c>
      <c r="D29" s="7">
        <v>8245000</v>
      </c>
      <c r="E29" s="7">
        <f t="shared" si="0"/>
        <v>11307568.438000001</v>
      </c>
      <c r="G29" s="7">
        <v>118363</v>
      </c>
      <c r="H29" s="511"/>
      <c r="I29" s="10"/>
      <c r="J29" s="534">
        <v>21</v>
      </c>
    </row>
    <row r="30" spans="1:10" ht="12.75" customHeight="1">
      <c r="A30" s="512">
        <v>22</v>
      </c>
      <c r="B30" s="8" t="s">
        <v>462</v>
      </c>
      <c r="C30" s="8">
        <f>'- 51 -'!H30</f>
        <v>2624875.7358</v>
      </c>
      <c r="D30" s="8">
        <v>5579948</v>
      </c>
      <c r="E30" s="8">
        <f t="shared" si="0"/>
        <v>8204823.7358</v>
      </c>
      <c r="G30" s="8">
        <v>204750</v>
      </c>
      <c r="H30" s="511"/>
      <c r="I30" s="10"/>
      <c r="J30" s="534">
        <v>22</v>
      </c>
    </row>
    <row r="31" spans="1:10" ht="12.75" customHeight="1">
      <c r="A31" s="510">
        <v>23</v>
      </c>
      <c r="B31" s="7" t="s">
        <v>463</v>
      </c>
      <c r="C31" s="7">
        <f>'- 51 -'!H31</f>
        <v>710657.1166000001</v>
      </c>
      <c r="D31" s="7">
        <v>2670917</v>
      </c>
      <c r="E31" s="7">
        <f t="shared" si="0"/>
        <v>3381574.1166000003</v>
      </c>
      <c r="G31" s="7">
        <v>95385</v>
      </c>
      <c r="H31" s="511"/>
      <c r="I31" s="10"/>
      <c r="J31" s="534">
        <v>23</v>
      </c>
    </row>
    <row r="32" spans="1:10" ht="12.75" customHeight="1">
      <c r="A32" s="512">
        <v>24</v>
      </c>
      <c r="B32" s="8" t="s">
        <v>464</v>
      </c>
      <c r="C32" s="8">
        <f>'- 51 -'!H32</f>
        <v>3943489.8696</v>
      </c>
      <c r="D32" s="8">
        <v>8213199</v>
      </c>
      <c r="E32" s="8">
        <f t="shared" si="0"/>
        <v>12156688.8696</v>
      </c>
      <c r="G32" s="8">
        <v>136511</v>
      </c>
      <c r="H32" s="511"/>
      <c r="I32" s="10"/>
      <c r="J32" s="534">
        <v>24</v>
      </c>
    </row>
    <row r="33" spans="1:10" ht="12.75" customHeight="1">
      <c r="A33" s="510">
        <v>25</v>
      </c>
      <c r="B33" s="7" t="s">
        <v>465</v>
      </c>
      <c r="C33" s="7">
        <f>'- 51 -'!H33</f>
        <v>1005300.5538000001</v>
      </c>
      <c r="D33" s="7">
        <v>3934622</v>
      </c>
      <c r="E33" s="7">
        <f t="shared" si="0"/>
        <v>4939922.5538</v>
      </c>
      <c r="G33" s="7">
        <v>162233</v>
      </c>
      <c r="H33" s="511"/>
      <c r="I33" s="10"/>
      <c r="J33" s="534">
        <v>25</v>
      </c>
    </row>
    <row r="34" spans="1:10" ht="12.75" customHeight="1">
      <c r="A34" s="512">
        <v>26</v>
      </c>
      <c r="B34" s="8" t="s">
        <v>466</v>
      </c>
      <c r="C34" s="8">
        <f>'- 51 -'!H34</f>
        <v>2300065.2138</v>
      </c>
      <c r="D34" s="8">
        <v>4974000</v>
      </c>
      <c r="E34" s="8">
        <f t="shared" si="0"/>
        <v>7274065.2138</v>
      </c>
      <c r="G34" s="8">
        <v>106097</v>
      </c>
      <c r="H34" s="511"/>
      <c r="I34" s="10"/>
      <c r="J34" s="534">
        <v>26</v>
      </c>
    </row>
    <row r="35" spans="1:10" ht="12.75" customHeight="1">
      <c r="A35" s="510">
        <v>28</v>
      </c>
      <c r="B35" s="7" t="s">
        <v>467</v>
      </c>
      <c r="C35" s="7">
        <f>'- 51 -'!H35</f>
        <v>613625.6142</v>
      </c>
      <c r="D35" s="7">
        <v>2469829</v>
      </c>
      <c r="E35" s="7">
        <f t="shared" si="0"/>
        <v>3083454.6141999997</v>
      </c>
      <c r="G35" s="7">
        <v>104924</v>
      </c>
      <c r="H35" s="511"/>
      <c r="I35" s="10"/>
      <c r="J35" s="534">
        <v>28</v>
      </c>
    </row>
    <row r="36" spans="1:10" ht="12.75" customHeight="1">
      <c r="A36" s="512">
        <v>30</v>
      </c>
      <c r="B36" s="8" t="s">
        <v>468</v>
      </c>
      <c r="C36" s="8">
        <f>'- 51 -'!H36</f>
        <v>1082808.1132</v>
      </c>
      <c r="D36" s="8">
        <v>3318978</v>
      </c>
      <c r="E36" s="8">
        <f t="shared" si="0"/>
        <v>4401786.1132</v>
      </c>
      <c r="G36" s="8">
        <v>126740</v>
      </c>
      <c r="H36" s="511"/>
      <c r="I36" s="10"/>
      <c r="J36" s="534">
        <v>30</v>
      </c>
    </row>
    <row r="37" spans="1:10" ht="12.75" customHeight="1">
      <c r="A37" s="510">
        <v>31</v>
      </c>
      <c r="B37" s="7" t="s">
        <v>469</v>
      </c>
      <c r="C37" s="7">
        <f>'- 51 -'!H37</f>
        <v>1835734.361</v>
      </c>
      <c r="D37" s="7">
        <v>3904820</v>
      </c>
      <c r="E37" s="7">
        <f t="shared" si="0"/>
        <v>5740554.361</v>
      </c>
      <c r="G37" s="7">
        <v>151008</v>
      </c>
      <c r="H37" s="511"/>
      <c r="I37" s="10"/>
      <c r="J37" s="534">
        <v>31</v>
      </c>
    </row>
    <row r="38" spans="1:10" ht="12.75" customHeight="1">
      <c r="A38" s="512">
        <v>32</v>
      </c>
      <c r="B38" s="8" t="s">
        <v>470</v>
      </c>
      <c r="C38" s="8">
        <f>'- 51 -'!H38</f>
        <v>427116.05</v>
      </c>
      <c r="D38" s="8">
        <v>1998517</v>
      </c>
      <c r="E38" s="8">
        <f t="shared" si="0"/>
        <v>2425633.05</v>
      </c>
      <c r="G38" s="8">
        <v>102652</v>
      </c>
      <c r="H38" s="511"/>
      <c r="I38" s="10"/>
      <c r="J38" s="534">
        <v>32</v>
      </c>
    </row>
    <row r="39" spans="1:10" ht="12.75" customHeight="1">
      <c r="A39" s="510">
        <v>33</v>
      </c>
      <c r="B39" s="7" t="s">
        <v>471</v>
      </c>
      <c r="C39" s="7">
        <f>'- 51 -'!H39</f>
        <v>1593180.5684</v>
      </c>
      <c r="D39" s="7">
        <v>4250977</v>
      </c>
      <c r="E39" s="7">
        <f t="shared" si="0"/>
        <v>5844157.5684</v>
      </c>
      <c r="G39" s="7">
        <v>115431</v>
      </c>
      <c r="H39" s="511"/>
      <c r="I39" s="10"/>
      <c r="J39" s="534">
        <v>33</v>
      </c>
    </row>
    <row r="40" spans="1:10" ht="12.75" customHeight="1">
      <c r="A40" s="512">
        <v>34</v>
      </c>
      <c r="B40" s="8" t="s">
        <v>472</v>
      </c>
      <c r="C40" s="8">
        <f>'- 51 -'!H40</f>
        <v>183143.9406</v>
      </c>
      <c r="D40" s="8">
        <v>1073528</v>
      </c>
      <c r="E40" s="8">
        <f t="shared" si="0"/>
        <v>1256671.9406</v>
      </c>
      <c r="G40" s="8">
        <v>68973</v>
      </c>
      <c r="H40" s="511"/>
      <c r="I40" s="10"/>
      <c r="J40" s="534">
        <v>34</v>
      </c>
    </row>
    <row r="41" spans="1:10" ht="12.75" customHeight="1">
      <c r="A41" s="510">
        <v>35</v>
      </c>
      <c r="B41" s="7" t="s">
        <v>473</v>
      </c>
      <c r="C41" s="7">
        <f>'- 51 -'!H41</f>
        <v>1420440.9331999999</v>
      </c>
      <c r="D41" s="7">
        <v>4413369</v>
      </c>
      <c r="E41" s="7">
        <f t="shared" si="0"/>
        <v>5833809.9332</v>
      </c>
      <c r="G41" s="7">
        <v>112494</v>
      </c>
      <c r="H41" s="511"/>
      <c r="I41" s="10"/>
      <c r="J41" s="534">
        <v>35</v>
      </c>
    </row>
    <row r="42" spans="1:10" ht="12.75" customHeight="1">
      <c r="A42" s="512">
        <v>36</v>
      </c>
      <c r="B42" s="8" t="s">
        <v>474</v>
      </c>
      <c r="C42" s="8">
        <f>'- 51 -'!H42</f>
        <v>754245.4112</v>
      </c>
      <c r="D42" s="8">
        <v>2856840</v>
      </c>
      <c r="E42" s="8">
        <f t="shared" si="0"/>
        <v>3611085.4112</v>
      </c>
      <c r="G42" s="8">
        <v>142100</v>
      </c>
      <c r="H42" s="511"/>
      <c r="I42" s="10"/>
      <c r="J42" s="534">
        <v>36</v>
      </c>
    </row>
    <row r="43" spans="1:10" ht="12.75" customHeight="1">
      <c r="A43" s="510">
        <v>37</v>
      </c>
      <c r="B43" s="7" t="s">
        <v>475</v>
      </c>
      <c r="C43" s="7">
        <f>'- 51 -'!H43</f>
        <v>726251.2722</v>
      </c>
      <c r="D43" s="7">
        <v>2321229</v>
      </c>
      <c r="E43" s="7">
        <f aca="true" t="shared" si="1" ref="E43:E63">SUM(C43,D43)</f>
        <v>3047480.2722</v>
      </c>
      <c r="G43" s="7">
        <v>131570</v>
      </c>
      <c r="H43" s="511"/>
      <c r="I43" s="10"/>
      <c r="J43" s="534">
        <v>37</v>
      </c>
    </row>
    <row r="44" spans="1:10" ht="12.75" customHeight="1">
      <c r="A44" s="512">
        <v>38</v>
      </c>
      <c r="B44" s="8" t="s">
        <v>476</v>
      </c>
      <c r="C44" s="8">
        <f>'- 51 -'!H44</f>
        <v>1495356.8442</v>
      </c>
      <c r="D44" s="8">
        <v>3727332</v>
      </c>
      <c r="E44" s="8">
        <f t="shared" si="1"/>
        <v>5222688.8442</v>
      </c>
      <c r="G44" s="8">
        <v>162129</v>
      </c>
      <c r="H44" s="511"/>
      <c r="I44" s="10"/>
      <c r="J44" s="534">
        <v>38</v>
      </c>
    </row>
    <row r="45" spans="1:10" ht="12.75" customHeight="1">
      <c r="A45" s="510">
        <v>39</v>
      </c>
      <c r="B45" s="7" t="s">
        <v>477</v>
      </c>
      <c r="C45" s="7">
        <f>'- 51 -'!H45</f>
        <v>2251500.1486</v>
      </c>
      <c r="D45" s="7">
        <v>5532584</v>
      </c>
      <c r="E45" s="7">
        <f t="shared" si="1"/>
        <v>7784084.1486</v>
      </c>
      <c r="G45" s="7">
        <v>144967</v>
      </c>
      <c r="H45" s="511"/>
      <c r="I45" s="10"/>
      <c r="J45" s="534">
        <v>39</v>
      </c>
    </row>
    <row r="46" spans="1:10" ht="12.75" customHeight="1">
      <c r="A46" s="512">
        <v>40</v>
      </c>
      <c r="B46" s="8" t="s">
        <v>478</v>
      </c>
      <c r="C46" s="8">
        <f>'- 51 -'!H46</f>
        <v>10516983.923</v>
      </c>
      <c r="D46" s="8">
        <v>17086400</v>
      </c>
      <c r="E46" s="8">
        <f t="shared" si="1"/>
        <v>27603383.923</v>
      </c>
      <c r="G46" s="8">
        <v>141880</v>
      </c>
      <c r="H46" s="511"/>
      <c r="I46" s="10"/>
      <c r="J46" s="534">
        <v>40</v>
      </c>
    </row>
    <row r="47" spans="1:10" ht="12.75" customHeight="1">
      <c r="A47" s="510">
        <v>41</v>
      </c>
      <c r="B47" s="7" t="s">
        <v>479</v>
      </c>
      <c r="C47" s="7">
        <f>'- 51 -'!H47</f>
        <v>2216623.9456</v>
      </c>
      <c r="D47" s="7">
        <v>4707544</v>
      </c>
      <c r="E47" s="7">
        <f t="shared" si="1"/>
        <v>6924167.9456</v>
      </c>
      <c r="G47" s="7">
        <v>162445</v>
      </c>
      <c r="H47" s="511"/>
      <c r="I47" s="10"/>
      <c r="J47" s="534">
        <v>41</v>
      </c>
    </row>
    <row r="48" spans="1:10" ht="12.75" customHeight="1">
      <c r="A48" s="512">
        <v>42</v>
      </c>
      <c r="B48" s="8" t="s">
        <v>480</v>
      </c>
      <c r="C48" s="8">
        <f>'- 51 -'!H48</f>
        <v>1116274.969</v>
      </c>
      <c r="D48" s="8">
        <v>3185643</v>
      </c>
      <c r="E48" s="8">
        <f t="shared" si="1"/>
        <v>4301917.9690000005</v>
      </c>
      <c r="G48" s="8">
        <v>155944</v>
      </c>
      <c r="H48" s="511"/>
      <c r="I48" s="10"/>
      <c r="J48" s="534">
        <v>42</v>
      </c>
    </row>
    <row r="49" spans="1:10" ht="12.75" customHeight="1">
      <c r="A49" s="510">
        <v>43</v>
      </c>
      <c r="B49" s="7" t="s">
        <v>481</v>
      </c>
      <c r="C49" s="7">
        <f>'- 51 -'!H49</f>
        <v>723529.7968</v>
      </c>
      <c r="D49" s="7">
        <v>2820833</v>
      </c>
      <c r="E49" s="7">
        <f t="shared" si="1"/>
        <v>3544362.7968</v>
      </c>
      <c r="G49" s="7">
        <v>181220</v>
      </c>
      <c r="H49" s="511"/>
      <c r="I49" s="10"/>
      <c r="J49" s="534">
        <v>43</v>
      </c>
    </row>
    <row r="50" spans="1:10" ht="12.75" customHeight="1">
      <c r="A50" s="512">
        <v>44</v>
      </c>
      <c r="B50" s="8" t="s">
        <v>482</v>
      </c>
      <c r="C50" s="8">
        <f>'- 51 -'!H50</f>
        <v>994490.8914000001</v>
      </c>
      <c r="D50" s="8">
        <v>3515514</v>
      </c>
      <c r="E50" s="8">
        <f t="shared" si="1"/>
        <v>4510004.8914</v>
      </c>
      <c r="G50" s="8">
        <v>142467</v>
      </c>
      <c r="H50" s="511"/>
      <c r="I50" s="10"/>
      <c r="J50" s="534">
        <v>44</v>
      </c>
    </row>
    <row r="51" spans="1:10" ht="12.75" customHeight="1">
      <c r="A51" s="510">
        <v>45</v>
      </c>
      <c r="B51" s="7" t="s">
        <v>483</v>
      </c>
      <c r="C51" s="7">
        <f>'- 51 -'!H51</f>
        <v>1475387.9938</v>
      </c>
      <c r="D51" s="7">
        <v>2975475</v>
      </c>
      <c r="E51" s="7">
        <f t="shared" si="1"/>
        <v>4450862.9938</v>
      </c>
      <c r="G51" s="7">
        <v>84177</v>
      </c>
      <c r="H51" s="511"/>
      <c r="I51" s="10"/>
      <c r="J51" s="534">
        <v>45</v>
      </c>
    </row>
    <row r="52" spans="1:10" ht="12.75" customHeight="1">
      <c r="A52" s="512">
        <v>46</v>
      </c>
      <c r="B52" s="8" t="s">
        <v>484</v>
      </c>
      <c r="C52" s="8">
        <f>'- 51 -'!H52</f>
        <v>666008.6156</v>
      </c>
      <c r="D52" s="8">
        <v>2983511</v>
      </c>
      <c r="E52" s="8">
        <f t="shared" si="1"/>
        <v>3649519.6156</v>
      </c>
      <c r="G52" s="8">
        <v>81217</v>
      </c>
      <c r="H52" s="511"/>
      <c r="I52" s="10"/>
      <c r="J52" s="534">
        <v>46</v>
      </c>
    </row>
    <row r="53" spans="1:10" ht="12.75" customHeight="1">
      <c r="A53" s="510">
        <v>47</v>
      </c>
      <c r="B53" s="7" t="s">
        <v>485</v>
      </c>
      <c r="C53" s="7">
        <f>'- 51 -'!H53</f>
        <v>1376903.6194000002</v>
      </c>
      <c r="D53" s="7">
        <v>3262852</v>
      </c>
      <c r="E53" s="7">
        <f t="shared" si="1"/>
        <v>4639755.6194</v>
      </c>
      <c r="G53" s="7">
        <v>115155</v>
      </c>
      <c r="H53" s="511"/>
      <c r="I53" s="10"/>
      <c r="J53" s="534">
        <v>47</v>
      </c>
    </row>
    <row r="54" spans="1:10" ht="12.75" customHeight="1">
      <c r="A54" s="512">
        <v>48</v>
      </c>
      <c r="B54" s="8" t="s">
        <v>486</v>
      </c>
      <c r="C54" s="8">
        <f>'- 51 -'!H54</f>
        <v>617216.1268</v>
      </c>
      <c r="D54" s="8">
        <v>1307573</v>
      </c>
      <c r="E54" s="8">
        <f t="shared" si="1"/>
        <v>1924789.1268</v>
      </c>
      <c r="G54" s="8">
        <v>25058</v>
      </c>
      <c r="H54" s="511"/>
      <c r="I54" s="10"/>
      <c r="J54" s="534">
        <v>48</v>
      </c>
    </row>
    <row r="55" spans="1:10" ht="12.75" customHeight="1">
      <c r="A55" s="510">
        <v>49</v>
      </c>
      <c r="B55" s="7" t="s">
        <v>487</v>
      </c>
      <c r="C55" s="7">
        <f>'- 51 -'!H55</f>
        <v>0</v>
      </c>
      <c r="D55" s="7"/>
      <c r="E55" s="7">
        <f t="shared" si="1"/>
        <v>0</v>
      </c>
      <c r="G55" s="7">
        <v>119015</v>
      </c>
      <c r="H55" s="511"/>
      <c r="I55" s="10"/>
      <c r="J55" s="534">
        <v>49</v>
      </c>
    </row>
    <row r="56" spans="1:10" ht="12.75" customHeight="1">
      <c r="A56" s="512">
        <v>50</v>
      </c>
      <c r="B56" s="8" t="s">
        <v>488</v>
      </c>
      <c r="C56" s="8">
        <f>'- 51 -'!H56</f>
        <v>1219954.274</v>
      </c>
      <c r="D56" s="8">
        <v>5465309</v>
      </c>
      <c r="E56" s="8">
        <f t="shared" si="1"/>
        <v>6685263.274</v>
      </c>
      <c r="G56" s="8">
        <v>142774</v>
      </c>
      <c r="H56" s="511"/>
      <c r="I56" s="10"/>
      <c r="J56" s="534">
        <v>50</v>
      </c>
    </row>
    <row r="57" spans="1:10" ht="12.75" customHeight="1">
      <c r="A57" s="510">
        <v>2264</v>
      </c>
      <c r="B57" s="7" t="s">
        <v>489</v>
      </c>
      <c r="C57" s="7">
        <f>'- 51 -'!H57</f>
        <v>274938.7288</v>
      </c>
      <c r="D57" s="7">
        <v>479014</v>
      </c>
      <c r="E57" s="7">
        <f t="shared" si="1"/>
        <v>753952.7287999999</v>
      </c>
      <c r="G57" s="7">
        <v>106660</v>
      </c>
      <c r="H57" s="511"/>
      <c r="I57" s="10"/>
      <c r="J57" s="534">
        <v>2264</v>
      </c>
    </row>
    <row r="58" spans="1:10" ht="12.75" customHeight="1">
      <c r="A58" s="512">
        <v>2309</v>
      </c>
      <c r="B58" s="8" t="s">
        <v>490</v>
      </c>
      <c r="C58" s="8">
        <f>'- 51 -'!H58</f>
        <v>100047.5436</v>
      </c>
      <c r="D58" s="8">
        <v>578010</v>
      </c>
      <c r="E58" s="8">
        <f t="shared" si="1"/>
        <v>678057.5436</v>
      </c>
      <c r="G58" s="8">
        <v>52694</v>
      </c>
      <c r="H58" s="511"/>
      <c r="I58" s="10"/>
      <c r="J58" s="534">
        <v>2309</v>
      </c>
    </row>
    <row r="59" spans="1:10" ht="12.75" customHeight="1">
      <c r="A59" s="510">
        <v>2312</v>
      </c>
      <c r="B59" s="7" t="s">
        <v>491</v>
      </c>
      <c r="C59" s="7">
        <f>'- 51 -'!H59</f>
        <v>26495.311999999998</v>
      </c>
      <c r="D59" s="7">
        <v>100000</v>
      </c>
      <c r="E59" s="7">
        <f t="shared" si="1"/>
        <v>126495.312</v>
      </c>
      <c r="G59" s="7">
        <v>13688</v>
      </c>
      <c r="H59" s="511"/>
      <c r="I59" s="10"/>
      <c r="J59" s="534">
        <v>2312</v>
      </c>
    </row>
    <row r="60" spans="1:10" ht="12.75" customHeight="1">
      <c r="A60" s="512">
        <v>2355</v>
      </c>
      <c r="B60" s="8" t="s">
        <v>492</v>
      </c>
      <c r="C60" s="8">
        <f>'- 51 -'!H60</f>
        <v>1771102.9888</v>
      </c>
      <c r="D60" s="8">
        <v>6038530</v>
      </c>
      <c r="E60" s="8">
        <f t="shared" si="1"/>
        <v>7809632.9888</v>
      </c>
      <c r="G60" s="8">
        <v>71316</v>
      </c>
      <c r="H60" s="511"/>
      <c r="I60" s="10"/>
      <c r="J60" s="534">
        <v>2355</v>
      </c>
    </row>
    <row r="61" spans="1:10" ht="12.75" customHeight="1">
      <c r="A61" s="510">
        <v>2439</v>
      </c>
      <c r="B61" s="7" t="s">
        <v>493</v>
      </c>
      <c r="C61" s="7">
        <f>'- 51 -'!H61</f>
        <v>114357.9074</v>
      </c>
      <c r="D61" s="7">
        <v>248025</v>
      </c>
      <c r="E61" s="7">
        <f t="shared" si="1"/>
        <v>362382.9074</v>
      </c>
      <c r="G61" s="7">
        <v>100430</v>
      </c>
      <c r="H61" s="511"/>
      <c r="I61" s="10"/>
      <c r="J61" s="534">
        <v>2439</v>
      </c>
    </row>
    <row r="62" spans="1:10" ht="12.75" customHeight="1">
      <c r="A62" s="512">
        <v>2460</v>
      </c>
      <c r="B62" s="8" t="s">
        <v>494</v>
      </c>
      <c r="C62" s="8">
        <f>'- 51 -'!H62</f>
        <v>159703.1424</v>
      </c>
      <c r="D62" s="8">
        <v>489470</v>
      </c>
      <c r="E62" s="8">
        <f t="shared" si="1"/>
        <v>649173.1424</v>
      </c>
      <c r="G62" s="8">
        <v>52324</v>
      </c>
      <c r="H62" s="511"/>
      <c r="I62" s="10"/>
      <c r="J62" s="534">
        <v>2460</v>
      </c>
    </row>
    <row r="63" spans="1:10" ht="12.75" customHeight="1">
      <c r="A63" s="510">
        <v>3000</v>
      </c>
      <c r="B63" s="7" t="s">
        <v>495</v>
      </c>
      <c r="C63" s="7">
        <f>'- 51 -'!H63</f>
        <v>0</v>
      </c>
      <c r="D63" s="7"/>
      <c r="E63" s="7">
        <f t="shared" si="1"/>
        <v>0</v>
      </c>
      <c r="G63" s="7"/>
      <c r="H63" s="511"/>
      <c r="I63" s="10"/>
      <c r="J63" s="513"/>
    </row>
    <row r="64" spans="8:9" ht="4.5" customHeight="1">
      <c r="H64" s="514"/>
      <c r="I64" s="10"/>
    </row>
    <row r="65" spans="1:9" ht="12" customHeight="1">
      <c r="A65" s="503"/>
      <c r="B65" s="11" t="s">
        <v>408</v>
      </c>
      <c r="C65" s="11">
        <f>SUM(C11:C63)</f>
        <v>201250389.86019996</v>
      </c>
      <c r="D65" s="11">
        <f>SUM(D11:D63)</f>
        <v>486442508</v>
      </c>
      <c r="E65" s="11">
        <f>SUM(E11:E63)</f>
        <v>687692897.8602002</v>
      </c>
      <c r="G65" s="11">
        <v>128325</v>
      </c>
      <c r="H65" s="511"/>
      <c r="I65" s="10"/>
    </row>
    <row r="66" spans="1:2" ht="16.5" customHeight="1">
      <c r="A66" s="483" t="s">
        <v>243</v>
      </c>
      <c r="B66" s="519" t="s">
        <v>516</v>
      </c>
    </row>
    <row r="67" ht="13.5" customHeight="1">
      <c r="B67" s="480" t="s">
        <v>541</v>
      </c>
    </row>
    <row r="68" spans="2:4" ht="13.5" customHeight="1">
      <c r="B68" s="480" t="s">
        <v>542</v>
      </c>
      <c r="D68" s="124"/>
    </row>
    <row r="69" spans="1:2" ht="13.5" customHeight="1">
      <c r="A69" s="483" t="s">
        <v>513</v>
      </c>
      <c r="B69" s="478" t="s">
        <v>517</v>
      </c>
    </row>
    <row r="70" spans="1:10" ht="13.5" customHeight="1">
      <c r="A70" s="478"/>
      <c r="B70" s="478" t="s">
        <v>545</v>
      </c>
      <c r="D70" s="99"/>
      <c r="E70" s="99"/>
      <c r="F70" s="100"/>
      <c r="G70" s="99"/>
      <c r="H70" s="100"/>
      <c r="I70" s="100"/>
      <c r="J70" s="100"/>
    </row>
    <row r="71" spans="1:10" ht="13.5" customHeight="1">
      <c r="A71" s="479"/>
      <c r="B71" s="479" t="s">
        <v>546</v>
      </c>
      <c r="D71" s="99"/>
      <c r="E71" s="99"/>
      <c r="F71" s="100"/>
      <c r="G71" s="99"/>
      <c r="H71" s="100"/>
      <c r="I71" s="100"/>
      <c r="J71" s="100"/>
    </row>
    <row r="72" spans="1:10" ht="13.5" customHeight="1">
      <c r="A72" s="479"/>
      <c r="B72" s="479" t="s">
        <v>547</v>
      </c>
      <c r="D72" s="99"/>
      <c r="E72" s="99"/>
      <c r="F72" s="100"/>
      <c r="G72" s="99"/>
      <c r="H72" s="100"/>
      <c r="I72" s="100"/>
      <c r="J72" s="100"/>
    </row>
    <row r="73" spans="4:10" ht="12" customHeight="1">
      <c r="D73" s="99"/>
      <c r="E73" s="99"/>
      <c r="F73" s="100"/>
      <c r="G73" s="99"/>
      <c r="H73" s="100"/>
      <c r="I73" s="100"/>
      <c r="J73" s="100"/>
    </row>
    <row r="74" spans="1:10" ht="12" customHeight="1">
      <c r="A74" s="3"/>
      <c r="B74" s="3"/>
      <c r="C74" s="99"/>
      <c r="D74" s="99"/>
      <c r="E74" s="99"/>
      <c r="F74" s="100"/>
      <c r="G74" s="99"/>
      <c r="H74" s="100"/>
      <c r="I74" s="100"/>
      <c r="J74" s="10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F58"/>
  <sheetViews>
    <sheetView showGridLines="0" showZeros="0" workbookViewId="0" topLeftCell="A1">
      <selection activeCell="A1" sqref="A1"/>
    </sheetView>
  </sheetViews>
  <sheetFormatPr defaultColWidth="19.83203125" defaultRowHeight="12"/>
  <cols>
    <col min="1" max="1" width="33.83203125" style="67" customWidth="1"/>
    <col min="2" max="2" width="22.83203125" style="67" customWidth="1"/>
    <col min="3" max="3" width="18.83203125" style="67" customWidth="1"/>
    <col min="4" max="5" width="19.83203125" style="67" customWidth="1"/>
    <col min="6" max="16384" width="19.83203125" style="67" customWidth="1"/>
  </cols>
  <sheetData>
    <row r="1" spans="1:6" ht="6.75" customHeight="1">
      <c r="A1" s="65"/>
      <c r="B1" s="65"/>
      <c r="C1" s="65"/>
      <c r="D1" s="65"/>
      <c r="E1" s="65"/>
      <c r="F1" s="65"/>
    </row>
    <row r="2" spans="1:6" ht="15.75" customHeight="1">
      <c r="A2" s="84"/>
      <c r="B2" s="455" t="str">
        <f>REVYEAR</f>
        <v>ANALYSIS OF OPERATING FUND REVENUE: 2002/2003 ACTUAL</v>
      </c>
      <c r="C2" s="353"/>
      <c r="D2" s="354"/>
      <c r="E2" s="354"/>
      <c r="F2" s="340" t="s">
        <v>253</v>
      </c>
    </row>
    <row r="3" spans="1:6" ht="15.75" customHeight="1">
      <c r="A3" s="87"/>
      <c r="B3" s="65"/>
      <c r="C3" s="65"/>
      <c r="D3" s="65"/>
      <c r="E3" s="65"/>
      <c r="F3" s="65"/>
    </row>
    <row r="4" spans="2:6" ht="15.75" customHeight="1">
      <c r="B4" s="357" t="s">
        <v>419</v>
      </c>
      <c r="C4" s="89"/>
      <c r="D4" s="89"/>
      <c r="E4" s="89"/>
      <c r="F4" s="90"/>
    </row>
    <row r="5" spans="2:6" ht="15.75" customHeight="1">
      <c r="B5" s="358" t="s">
        <v>318</v>
      </c>
      <c r="C5" s="91"/>
      <c r="D5" s="112"/>
      <c r="E5" s="112"/>
      <c r="F5" s="113"/>
    </row>
    <row r="6" spans="2:6" ht="15.75" customHeight="1">
      <c r="B6" s="101" t="s">
        <v>131</v>
      </c>
      <c r="C6" s="85"/>
      <c r="D6" s="85"/>
      <c r="E6" s="114"/>
      <c r="F6" s="115"/>
    </row>
    <row r="7" spans="2:6" ht="15.75" customHeight="1">
      <c r="B7" s="93"/>
      <c r="C7" s="35"/>
      <c r="D7" s="35"/>
      <c r="E7" s="35"/>
      <c r="F7" s="35"/>
    </row>
    <row r="8" spans="1:6" ht="15.75" customHeight="1">
      <c r="A8" s="313"/>
      <c r="B8" s="430" t="s">
        <v>314</v>
      </c>
      <c r="C8" s="96" t="s">
        <v>325</v>
      </c>
      <c r="D8" s="96" t="s">
        <v>248</v>
      </c>
      <c r="E8" s="96" t="s">
        <v>249</v>
      </c>
      <c r="F8" s="96" t="s">
        <v>156</v>
      </c>
    </row>
    <row r="9" spans="1:6" ht="15.75" customHeight="1">
      <c r="A9" s="314" t="s">
        <v>112</v>
      </c>
      <c r="B9" s="431" t="s">
        <v>307</v>
      </c>
      <c r="C9" s="98" t="s">
        <v>282</v>
      </c>
      <c r="D9" s="98" t="s">
        <v>202</v>
      </c>
      <c r="E9" s="98" t="s">
        <v>41</v>
      </c>
      <c r="F9" s="98" t="s">
        <v>184</v>
      </c>
    </row>
    <row r="10" spans="1:6" ht="4.5" customHeight="1">
      <c r="A10" s="62"/>
      <c r="D10" s="65"/>
      <c r="E10" s="65"/>
      <c r="F10" s="65"/>
    </row>
    <row r="11" spans="1:6" ht="13.5" customHeight="1">
      <c r="A11" s="387" t="s">
        <v>327</v>
      </c>
      <c r="B11" s="308">
        <v>2874190</v>
      </c>
      <c r="C11" s="308">
        <v>180688</v>
      </c>
      <c r="D11" s="308">
        <v>82355</v>
      </c>
      <c r="E11" s="308">
        <v>65884</v>
      </c>
      <c r="F11" s="308">
        <v>148239</v>
      </c>
    </row>
    <row r="12" spans="1:6" ht="13.5" customHeight="1">
      <c r="A12" s="388" t="s">
        <v>328</v>
      </c>
      <c r="B12" s="309">
        <v>4057998</v>
      </c>
      <c r="C12" s="309">
        <v>447847</v>
      </c>
      <c r="D12" s="309">
        <v>116275</v>
      </c>
      <c r="E12" s="309">
        <v>93020</v>
      </c>
      <c r="F12" s="309">
        <v>209295</v>
      </c>
    </row>
    <row r="13" spans="1:6" ht="13.5" customHeight="1">
      <c r="A13" s="387" t="s">
        <v>329</v>
      </c>
      <c r="B13" s="308">
        <v>12746353</v>
      </c>
      <c r="C13" s="308">
        <v>103506</v>
      </c>
      <c r="D13" s="308">
        <v>365225</v>
      </c>
      <c r="E13" s="308">
        <v>292180</v>
      </c>
      <c r="F13" s="308">
        <v>657405</v>
      </c>
    </row>
    <row r="14" spans="1:6" ht="13.5" customHeight="1">
      <c r="A14" s="388" t="s">
        <v>366</v>
      </c>
      <c r="B14" s="309">
        <v>7427942</v>
      </c>
      <c r="C14" s="309">
        <v>759968</v>
      </c>
      <c r="D14" s="309">
        <v>212835</v>
      </c>
      <c r="E14" s="309">
        <v>170268</v>
      </c>
      <c r="F14" s="309">
        <v>383103</v>
      </c>
    </row>
    <row r="15" spans="1:6" ht="13.5" customHeight="1">
      <c r="A15" s="387" t="s">
        <v>330</v>
      </c>
      <c r="B15" s="308">
        <v>2852028</v>
      </c>
      <c r="C15" s="308">
        <v>215701</v>
      </c>
      <c r="D15" s="308">
        <v>81720</v>
      </c>
      <c r="E15" s="308">
        <v>65376</v>
      </c>
      <c r="F15" s="308">
        <v>147096</v>
      </c>
    </row>
    <row r="16" spans="1:6" ht="13.5" customHeight="1">
      <c r="A16" s="388" t="s">
        <v>331</v>
      </c>
      <c r="B16" s="309">
        <v>2235520</v>
      </c>
      <c r="C16" s="309">
        <v>0</v>
      </c>
      <c r="D16" s="309">
        <v>64055</v>
      </c>
      <c r="E16" s="309">
        <v>51244</v>
      </c>
      <c r="F16" s="309">
        <v>115299</v>
      </c>
    </row>
    <row r="17" spans="1:6" ht="13.5" customHeight="1">
      <c r="A17" s="387" t="s">
        <v>332</v>
      </c>
      <c r="B17" s="308">
        <v>2720281</v>
      </c>
      <c r="C17" s="308">
        <v>318179</v>
      </c>
      <c r="D17" s="308">
        <v>77945</v>
      </c>
      <c r="E17" s="308">
        <v>62356</v>
      </c>
      <c r="F17" s="308">
        <v>140301</v>
      </c>
    </row>
    <row r="18" spans="1:6" ht="13.5" customHeight="1">
      <c r="A18" s="388" t="s">
        <v>333</v>
      </c>
      <c r="B18" s="309">
        <v>5883095</v>
      </c>
      <c r="C18" s="309">
        <v>1352219</v>
      </c>
      <c r="D18" s="309">
        <v>168570</v>
      </c>
      <c r="E18" s="309">
        <v>134856</v>
      </c>
      <c r="F18" s="309">
        <v>303426</v>
      </c>
    </row>
    <row r="19" spans="1:6" ht="13.5" customHeight="1">
      <c r="A19" s="387" t="s">
        <v>334</v>
      </c>
      <c r="B19" s="308">
        <v>4946901</v>
      </c>
      <c r="C19" s="308">
        <v>276836</v>
      </c>
      <c r="D19" s="308">
        <v>141745</v>
      </c>
      <c r="E19" s="308">
        <v>113396</v>
      </c>
      <c r="F19" s="308">
        <v>255141</v>
      </c>
    </row>
    <row r="20" spans="1:6" ht="13.5" customHeight="1">
      <c r="A20" s="388" t="s">
        <v>335</v>
      </c>
      <c r="B20" s="309">
        <v>10506409</v>
      </c>
      <c r="C20" s="309">
        <v>248487</v>
      </c>
      <c r="D20" s="309">
        <v>298985</v>
      </c>
      <c r="E20" s="309">
        <v>239188</v>
      </c>
      <c r="F20" s="309">
        <v>491165</v>
      </c>
    </row>
    <row r="21" spans="1:6" ht="13.5" customHeight="1">
      <c r="A21" s="387" t="s">
        <v>336</v>
      </c>
      <c r="B21" s="308">
        <v>5962840</v>
      </c>
      <c r="C21" s="308">
        <v>459040</v>
      </c>
      <c r="D21" s="308">
        <v>170719</v>
      </c>
      <c r="E21" s="308">
        <v>136684</v>
      </c>
      <c r="F21" s="308">
        <v>307539</v>
      </c>
    </row>
    <row r="22" spans="1:6" ht="13.5" customHeight="1">
      <c r="A22" s="388" t="s">
        <v>337</v>
      </c>
      <c r="B22" s="309">
        <v>2957950</v>
      </c>
      <c r="C22" s="309">
        <v>0</v>
      </c>
      <c r="D22" s="309">
        <v>84755</v>
      </c>
      <c r="E22" s="309">
        <v>67804</v>
      </c>
      <c r="F22" s="309">
        <v>152559</v>
      </c>
    </row>
    <row r="23" spans="1:6" ht="13.5" customHeight="1">
      <c r="A23" s="387" t="s">
        <v>338</v>
      </c>
      <c r="B23" s="308">
        <v>2410718</v>
      </c>
      <c r="C23" s="308">
        <v>450260</v>
      </c>
      <c r="D23" s="308">
        <v>69075</v>
      </c>
      <c r="E23" s="308">
        <v>55260</v>
      </c>
      <c r="F23" s="308">
        <v>124335</v>
      </c>
    </row>
    <row r="24" spans="1:6" ht="13.5" customHeight="1">
      <c r="A24" s="388" t="s">
        <v>339</v>
      </c>
      <c r="B24" s="309">
        <v>8140251</v>
      </c>
      <c r="C24" s="309">
        <v>385230</v>
      </c>
      <c r="D24" s="309">
        <v>233245</v>
      </c>
      <c r="E24" s="309">
        <v>186596</v>
      </c>
      <c r="F24" s="309">
        <v>419841</v>
      </c>
    </row>
    <row r="25" spans="1:6" ht="13.5" customHeight="1">
      <c r="A25" s="387" t="s">
        <v>340</v>
      </c>
      <c r="B25" s="308">
        <v>25909761</v>
      </c>
      <c r="C25" s="308">
        <v>0</v>
      </c>
      <c r="D25" s="308">
        <v>666771</v>
      </c>
      <c r="E25" s="308">
        <v>593920</v>
      </c>
      <c r="F25" s="308">
        <v>1336320</v>
      </c>
    </row>
    <row r="26" spans="1:6" ht="13.5" customHeight="1">
      <c r="A26" s="388" t="s">
        <v>341</v>
      </c>
      <c r="B26" s="309">
        <v>5730581</v>
      </c>
      <c r="C26" s="309">
        <v>588923</v>
      </c>
      <c r="D26" s="309">
        <v>164200</v>
      </c>
      <c r="E26" s="309">
        <v>131360</v>
      </c>
      <c r="F26" s="309">
        <v>295560</v>
      </c>
    </row>
    <row r="27" spans="1:6" ht="13.5" customHeight="1">
      <c r="A27" s="387" t="s">
        <v>342</v>
      </c>
      <c r="B27" s="308">
        <v>5688002</v>
      </c>
      <c r="C27" s="308">
        <v>0</v>
      </c>
      <c r="D27" s="308">
        <v>162980</v>
      </c>
      <c r="E27" s="308">
        <v>130384</v>
      </c>
      <c r="F27" s="308">
        <v>293364</v>
      </c>
    </row>
    <row r="28" spans="1:6" ht="13.5" customHeight="1">
      <c r="A28" s="388" t="s">
        <v>343</v>
      </c>
      <c r="B28" s="309">
        <v>3489128</v>
      </c>
      <c r="C28" s="309">
        <v>603847</v>
      </c>
      <c r="D28" s="309">
        <v>99975</v>
      </c>
      <c r="E28" s="309">
        <v>79980</v>
      </c>
      <c r="F28" s="309">
        <v>179955</v>
      </c>
    </row>
    <row r="29" spans="1:6" ht="13.5" customHeight="1">
      <c r="A29" s="387" t="s">
        <v>344</v>
      </c>
      <c r="B29" s="308">
        <v>23701812</v>
      </c>
      <c r="C29" s="308">
        <v>0</v>
      </c>
      <c r="D29" s="308">
        <v>679135</v>
      </c>
      <c r="E29" s="308">
        <v>543309</v>
      </c>
      <c r="F29" s="308">
        <v>1222443</v>
      </c>
    </row>
    <row r="30" spans="1:6" ht="13.5" customHeight="1">
      <c r="A30" s="388" t="s">
        <v>345</v>
      </c>
      <c r="B30" s="309">
        <v>2268849</v>
      </c>
      <c r="C30" s="309">
        <v>331114</v>
      </c>
      <c r="D30" s="309">
        <v>63618</v>
      </c>
      <c r="E30" s="309">
        <v>52008</v>
      </c>
      <c r="F30" s="309">
        <v>117018</v>
      </c>
    </row>
    <row r="31" spans="1:6" ht="13.5" customHeight="1">
      <c r="A31" s="387" t="s">
        <v>346</v>
      </c>
      <c r="B31" s="308">
        <v>5946262</v>
      </c>
      <c r="C31" s="308">
        <v>229690</v>
      </c>
      <c r="D31" s="308">
        <v>137956</v>
      </c>
      <c r="E31" s="308">
        <v>136303</v>
      </c>
      <c r="F31" s="308">
        <v>306681</v>
      </c>
    </row>
    <row r="32" spans="1:6" ht="13.5" customHeight="1">
      <c r="A32" s="388" t="s">
        <v>347</v>
      </c>
      <c r="B32" s="309">
        <v>4202833</v>
      </c>
      <c r="C32" s="309">
        <v>692729</v>
      </c>
      <c r="D32" s="309">
        <v>120425</v>
      </c>
      <c r="E32" s="309">
        <v>96340</v>
      </c>
      <c r="F32" s="309">
        <v>216765</v>
      </c>
    </row>
    <row r="33" spans="1:6" ht="13.5" customHeight="1">
      <c r="A33" s="387" t="s">
        <v>348</v>
      </c>
      <c r="B33" s="308">
        <v>4543283</v>
      </c>
      <c r="C33" s="308">
        <v>970161</v>
      </c>
      <c r="D33" s="308">
        <v>130180</v>
      </c>
      <c r="E33" s="308">
        <v>104144</v>
      </c>
      <c r="F33" s="308">
        <v>234324</v>
      </c>
    </row>
    <row r="34" spans="1:6" ht="13.5" customHeight="1">
      <c r="A34" s="388" t="s">
        <v>349</v>
      </c>
      <c r="B34" s="309">
        <v>3886397</v>
      </c>
      <c r="C34" s="309">
        <v>598126</v>
      </c>
      <c r="D34" s="309">
        <v>111355</v>
      </c>
      <c r="E34" s="309">
        <v>89084</v>
      </c>
      <c r="F34" s="309">
        <v>200226</v>
      </c>
    </row>
    <row r="35" spans="1:6" ht="13.5" customHeight="1">
      <c r="A35" s="387" t="s">
        <v>350</v>
      </c>
      <c r="B35" s="308">
        <v>31111257</v>
      </c>
      <c r="C35" s="308">
        <v>0</v>
      </c>
      <c r="D35" s="308">
        <v>885417</v>
      </c>
      <c r="E35" s="308">
        <v>713152</v>
      </c>
      <c r="F35" s="308">
        <v>1604592</v>
      </c>
    </row>
    <row r="36" spans="1:6" ht="13.5" customHeight="1">
      <c r="A36" s="388" t="s">
        <v>351</v>
      </c>
      <c r="B36" s="309">
        <v>3552122</v>
      </c>
      <c r="C36" s="309">
        <v>431645</v>
      </c>
      <c r="D36" s="309">
        <v>100739</v>
      </c>
      <c r="E36" s="309">
        <v>81424</v>
      </c>
      <c r="F36" s="309">
        <v>183204</v>
      </c>
    </row>
    <row r="37" spans="1:6" ht="13.5" customHeight="1">
      <c r="A37" s="387" t="s">
        <v>352</v>
      </c>
      <c r="B37" s="308">
        <v>6094762</v>
      </c>
      <c r="C37" s="308">
        <v>530503</v>
      </c>
      <c r="D37" s="308">
        <v>174635</v>
      </c>
      <c r="E37" s="308">
        <v>139708</v>
      </c>
      <c r="F37" s="308">
        <v>314343</v>
      </c>
    </row>
    <row r="38" spans="1:6" ht="13.5" customHeight="1">
      <c r="A38" s="388" t="s">
        <v>353</v>
      </c>
      <c r="B38" s="309">
        <v>14844541</v>
      </c>
      <c r="C38" s="309">
        <v>0</v>
      </c>
      <c r="D38" s="309">
        <v>425345</v>
      </c>
      <c r="E38" s="309">
        <v>340276</v>
      </c>
      <c r="F38" s="309">
        <v>765621</v>
      </c>
    </row>
    <row r="39" spans="1:6" ht="13.5" customHeight="1">
      <c r="A39" s="387" t="s">
        <v>354</v>
      </c>
      <c r="B39" s="308">
        <v>3199632</v>
      </c>
      <c r="C39" s="308">
        <v>547255</v>
      </c>
      <c r="D39" s="308">
        <v>91680</v>
      </c>
      <c r="E39" s="308">
        <v>73344</v>
      </c>
      <c r="F39" s="308">
        <v>165024</v>
      </c>
    </row>
    <row r="40" spans="1:6" ht="13.5" customHeight="1">
      <c r="A40" s="388" t="s">
        <v>355</v>
      </c>
      <c r="B40" s="309">
        <v>15850184</v>
      </c>
      <c r="C40" s="309">
        <v>0</v>
      </c>
      <c r="D40" s="309">
        <v>454160</v>
      </c>
      <c r="E40" s="309">
        <v>363328</v>
      </c>
      <c r="F40" s="309">
        <v>817488</v>
      </c>
    </row>
    <row r="41" spans="1:6" ht="13.5" customHeight="1">
      <c r="A41" s="387" t="s">
        <v>356</v>
      </c>
      <c r="B41" s="308">
        <v>8594300</v>
      </c>
      <c r="C41" s="308">
        <v>460237</v>
      </c>
      <c r="D41" s="308">
        <v>246255</v>
      </c>
      <c r="E41" s="308">
        <v>197004</v>
      </c>
      <c r="F41" s="308">
        <v>443259</v>
      </c>
    </row>
    <row r="42" spans="1:6" ht="13.5" customHeight="1">
      <c r="A42" s="388" t="s">
        <v>357</v>
      </c>
      <c r="B42" s="309">
        <v>3214639</v>
      </c>
      <c r="C42" s="309">
        <v>353755</v>
      </c>
      <c r="D42" s="309">
        <v>92110</v>
      </c>
      <c r="E42" s="309">
        <v>73688</v>
      </c>
      <c r="F42" s="309">
        <v>165798</v>
      </c>
    </row>
    <row r="43" spans="1:6" ht="13.5" customHeight="1">
      <c r="A43" s="387" t="s">
        <v>358</v>
      </c>
      <c r="B43" s="308">
        <v>2165022</v>
      </c>
      <c r="C43" s="308">
        <v>168293</v>
      </c>
      <c r="D43" s="308">
        <v>62035</v>
      </c>
      <c r="E43" s="308">
        <v>49628</v>
      </c>
      <c r="F43" s="308">
        <v>111663</v>
      </c>
    </row>
    <row r="44" spans="1:6" ht="13.5" customHeight="1">
      <c r="A44" s="388" t="s">
        <v>359</v>
      </c>
      <c r="B44" s="309">
        <v>1437008</v>
      </c>
      <c r="C44" s="309">
        <v>325281</v>
      </c>
      <c r="D44" s="309">
        <v>41175</v>
      </c>
      <c r="E44" s="309">
        <v>32940</v>
      </c>
      <c r="F44" s="309">
        <v>74115</v>
      </c>
    </row>
    <row r="45" spans="1:6" ht="13.5" customHeight="1">
      <c r="A45" s="387" t="s">
        <v>360</v>
      </c>
      <c r="B45" s="308">
        <v>2518908</v>
      </c>
      <c r="C45" s="308">
        <v>36498</v>
      </c>
      <c r="D45" s="308">
        <v>72175</v>
      </c>
      <c r="E45" s="308">
        <v>57740</v>
      </c>
      <c r="F45" s="308">
        <v>129915</v>
      </c>
    </row>
    <row r="46" spans="1:6" ht="13.5" customHeight="1">
      <c r="A46" s="388" t="s">
        <v>361</v>
      </c>
      <c r="B46" s="309">
        <v>53076095</v>
      </c>
      <c r="C46" s="309">
        <v>0</v>
      </c>
      <c r="D46" s="309">
        <v>1481352</v>
      </c>
      <c r="E46" s="309">
        <v>1216644</v>
      </c>
      <c r="F46" s="309">
        <v>2737449</v>
      </c>
    </row>
    <row r="47" spans="1:6" ht="13.5" customHeight="1">
      <c r="A47" s="387" t="s">
        <v>365</v>
      </c>
      <c r="B47" s="308">
        <v>0</v>
      </c>
      <c r="C47" s="308">
        <v>0</v>
      </c>
      <c r="D47" s="308">
        <v>0</v>
      </c>
      <c r="E47" s="308">
        <v>0</v>
      </c>
      <c r="F47" s="308">
        <v>0</v>
      </c>
    </row>
    <row r="48" spans="1:6" ht="4.5" customHeight="1">
      <c r="A48" s="389"/>
      <c r="B48" s="401"/>
      <c r="C48" s="401"/>
      <c r="D48" s="401"/>
      <c r="E48" s="401"/>
      <c r="F48" s="401"/>
    </row>
    <row r="49" spans="1:6" ht="13.5" customHeight="1">
      <c r="A49" s="383" t="s">
        <v>362</v>
      </c>
      <c r="B49" s="311">
        <f>SUM(B11:B47)</f>
        <v>306747854</v>
      </c>
      <c r="C49" s="311">
        <f>SUM(C11:C47)</f>
        <v>12066018</v>
      </c>
      <c r="D49" s="311">
        <f>SUM(D11:D47)</f>
        <v>8631177</v>
      </c>
      <c r="E49" s="311">
        <f>SUM(E11:E47)</f>
        <v>7029820</v>
      </c>
      <c r="F49" s="311">
        <f>SUM(F11:F47)</f>
        <v>15769871</v>
      </c>
    </row>
    <row r="50" spans="1:6" ht="4.5" customHeight="1">
      <c r="A50" s="389" t="s">
        <v>15</v>
      </c>
      <c r="B50" s="401"/>
      <c r="C50" s="401"/>
      <c r="D50" s="401"/>
      <c r="E50" s="401"/>
      <c r="F50" s="401"/>
    </row>
    <row r="51" spans="1:6" ht="13.5" customHeight="1">
      <c r="A51" s="388" t="s">
        <v>363</v>
      </c>
      <c r="B51" s="309">
        <v>60417</v>
      </c>
      <c r="C51" s="309">
        <v>0</v>
      </c>
      <c r="D51" s="309">
        <v>3325</v>
      </c>
      <c r="E51" s="309">
        <v>2660</v>
      </c>
      <c r="F51" s="309">
        <v>5985</v>
      </c>
    </row>
    <row r="52" spans="1:6" ht="13.5" customHeight="1">
      <c r="A52" s="387" t="s">
        <v>364</v>
      </c>
      <c r="B52" s="308">
        <v>165853</v>
      </c>
      <c r="C52" s="308">
        <v>0</v>
      </c>
      <c r="D52" s="308">
        <v>11905</v>
      </c>
      <c r="E52" s="308">
        <v>9524</v>
      </c>
      <c r="F52" s="308">
        <v>21145</v>
      </c>
    </row>
    <row r="53" spans="1:6" ht="49.5" customHeight="1">
      <c r="A53" s="324"/>
      <c r="B53" s="315"/>
      <c r="C53" s="315"/>
      <c r="D53" s="315"/>
      <c r="E53" s="324"/>
      <c r="F53" s="315"/>
    </row>
    <row r="54" spans="1:6" ht="15" customHeight="1">
      <c r="A54" s="99" t="s">
        <v>519</v>
      </c>
      <c r="C54" s="99"/>
      <c r="D54" s="99"/>
      <c r="E54" s="99"/>
      <c r="F54" s="99"/>
    </row>
    <row r="55" spans="1:6" ht="13.5" customHeight="1">
      <c r="A55" s="99" t="s">
        <v>7</v>
      </c>
      <c r="C55" s="99"/>
      <c r="D55" s="99"/>
      <c r="E55" s="99"/>
      <c r="F55" s="99"/>
    </row>
    <row r="56" spans="1:6" ht="13.5" customHeight="1">
      <c r="A56" s="228"/>
      <c r="C56" s="99"/>
      <c r="D56" s="99"/>
      <c r="E56" s="99"/>
      <c r="F56" s="99"/>
    </row>
    <row r="57" spans="1:6" ht="13.5" customHeight="1">
      <c r="A57" s="228"/>
      <c r="B57" s="9"/>
      <c r="C57" s="105"/>
      <c r="D57" s="105"/>
      <c r="E57" s="105"/>
      <c r="F57" s="105"/>
    </row>
    <row r="58" spans="1:6" ht="13.5" customHeight="1">
      <c r="A58" s="3"/>
      <c r="B58" s="9"/>
      <c r="C58" s="9"/>
      <c r="D58" s="9"/>
      <c r="E58" s="9"/>
      <c r="F58" s="9"/>
    </row>
    <row r="59" ht="13.5" customHeight="1"/>
    <row r="60" ht="13.5"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51">
    <pageSetUpPr fitToPage="1"/>
  </sheetPr>
  <dimension ref="A1:F58"/>
  <sheetViews>
    <sheetView showGridLines="0" showZeros="0" workbookViewId="0" topLeftCell="A1">
      <selection activeCell="A1" sqref="A1"/>
    </sheetView>
  </sheetViews>
  <sheetFormatPr defaultColWidth="19.83203125" defaultRowHeight="12"/>
  <cols>
    <col min="1" max="1" width="31.83203125" style="67" customWidth="1"/>
    <col min="2" max="2" width="16.83203125" style="67" customWidth="1"/>
    <col min="3" max="3" width="21.83203125" style="67" customWidth="1"/>
    <col min="4" max="4" width="22.83203125" style="67" customWidth="1"/>
    <col min="5" max="6" width="18.83203125" style="67" customWidth="1"/>
    <col min="7" max="16384" width="19.83203125" style="67" customWidth="1"/>
  </cols>
  <sheetData>
    <row r="1" spans="1:6" ht="6.75" customHeight="1">
      <c r="A1" s="65"/>
      <c r="B1" s="65"/>
      <c r="C1" s="65"/>
      <c r="D1" s="65"/>
      <c r="E1" s="65"/>
      <c r="F1" s="65"/>
    </row>
    <row r="2" spans="1:6" ht="15.75" customHeight="1">
      <c r="A2" s="84"/>
      <c r="B2" s="455" t="str">
        <f>REVYEAR</f>
        <v>ANALYSIS OF OPERATING FUND REVENUE: 2002/2003 ACTUAL</v>
      </c>
      <c r="C2" s="353"/>
      <c r="D2" s="354"/>
      <c r="E2" s="356"/>
      <c r="F2" s="340" t="s">
        <v>254</v>
      </c>
    </row>
    <row r="3" spans="1:6" ht="15.75" customHeight="1">
      <c r="A3" s="87"/>
      <c r="B3" s="87"/>
      <c r="C3" s="65"/>
      <c r="D3" s="65"/>
      <c r="E3" s="65"/>
      <c r="F3" s="65"/>
    </row>
    <row r="4" spans="2:6" ht="15.75" customHeight="1">
      <c r="B4" s="357" t="str">
        <f>'- 56-'!B4</f>
        <v>EDUCATION, CITIZENSHIP AND YOUTH</v>
      </c>
      <c r="C4" s="89"/>
      <c r="D4" s="89"/>
      <c r="E4" s="89"/>
      <c r="F4" s="90"/>
    </row>
    <row r="5" spans="2:6" ht="15.75" customHeight="1">
      <c r="B5" s="358" t="s">
        <v>317</v>
      </c>
      <c r="C5" s="91"/>
      <c r="D5" s="91"/>
      <c r="E5" s="112"/>
      <c r="F5" s="92"/>
    </row>
    <row r="6" spans="2:6" ht="15.75" customHeight="1">
      <c r="B6" s="359" t="s">
        <v>131</v>
      </c>
      <c r="C6" s="85"/>
      <c r="D6" s="85"/>
      <c r="E6" s="85"/>
      <c r="F6" s="108"/>
    </row>
    <row r="7" spans="2:6" ht="15.75" customHeight="1">
      <c r="B7" s="93" t="s">
        <v>139</v>
      </c>
      <c r="C7" s="35"/>
      <c r="D7" s="35"/>
      <c r="E7" s="35"/>
      <c r="F7" s="93" t="s">
        <v>81</v>
      </c>
    </row>
    <row r="8" spans="1:6" ht="15.75" customHeight="1">
      <c r="A8" s="313"/>
      <c r="B8" s="430" t="s">
        <v>153</v>
      </c>
      <c r="C8" s="96" t="s">
        <v>155</v>
      </c>
      <c r="D8" s="96" t="s">
        <v>157</v>
      </c>
      <c r="E8" s="95"/>
      <c r="F8" s="96" t="s">
        <v>158</v>
      </c>
    </row>
    <row r="9" spans="1:6" ht="15.75" customHeight="1">
      <c r="A9" s="314" t="s">
        <v>112</v>
      </c>
      <c r="B9" s="431" t="s">
        <v>321</v>
      </c>
      <c r="C9" s="98" t="s">
        <v>183</v>
      </c>
      <c r="D9" s="98" t="s">
        <v>185</v>
      </c>
      <c r="E9" s="98" t="s">
        <v>182</v>
      </c>
      <c r="F9" s="98" t="s">
        <v>181</v>
      </c>
    </row>
    <row r="10" spans="1:6" ht="4.5" customHeight="1">
      <c r="A10" s="62"/>
      <c r="B10" s="65"/>
      <c r="E10" s="65"/>
      <c r="F10" s="65"/>
    </row>
    <row r="11" spans="1:6" ht="13.5" customHeight="1">
      <c r="A11" s="387" t="s">
        <v>327</v>
      </c>
      <c r="B11" s="308">
        <v>428246</v>
      </c>
      <c r="C11" s="308">
        <v>89798</v>
      </c>
      <c r="D11" s="308">
        <v>56001</v>
      </c>
      <c r="E11" s="308">
        <v>800442</v>
      </c>
      <c r="F11" s="308">
        <f>SUM('- 56-'!B11:F11,B11:E11)</f>
        <v>4725843</v>
      </c>
    </row>
    <row r="12" spans="1:6" ht="13.5" customHeight="1">
      <c r="A12" s="388" t="s">
        <v>328</v>
      </c>
      <c r="B12" s="309">
        <v>604630</v>
      </c>
      <c r="C12" s="309">
        <v>120236</v>
      </c>
      <c r="D12" s="309">
        <v>79067</v>
      </c>
      <c r="E12" s="309">
        <v>1107242</v>
      </c>
      <c r="F12" s="309">
        <f>SUM('- 56-'!B12:F12,B12:E12)</f>
        <v>6835610</v>
      </c>
    </row>
    <row r="13" spans="1:6" ht="13.5" customHeight="1">
      <c r="A13" s="387" t="s">
        <v>329</v>
      </c>
      <c r="B13" s="308">
        <v>1899170</v>
      </c>
      <c r="C13" s="308">
        <v>394174</v>
      </c>
      <c r="D13" s="308">
        <v>248353</v>
      </c>
      <c r="E13" s="308">
        <v>2805000</v>
      </c>
      <c r="F13" s="308">
        <f>SUM('- 56-'!B13:F13,B13:E13)</f>
        <v>19511366</v>
      </c>
    </row>
    <row r="14" spans="1:6" ht="13.5" customHeight="1">
      <c r="A14" s="388" t="s">
        <v>366</v>
      </c>
      <c r="B14" s="309">
        <v>1106742</v>
      </c>
      <c r="C14" s="309">
        <v>221129</v>
      </c>
      <c r="D14" s="309">
        <v>144728</v>
      </c>
      <c r="E14" s="309">
        <v>2145000</v>
      </c>
      <c r="F14" s="309">
        <f>SUM('- 56-'!B14:F14,B14:E14)</f>
        <v>12571715</v>
      </c>
    </row>
    <row r="15" spans="1:6" ht="13.5" customHeight="1">
      <c r="A15" s="387" t="s">
        <v>330</v>
      </c>
      <c r="B15" s="308">
        <v>424944</v>
      </c>
      <c r="C15" s="308">
        <v>89782</v>
      </c>
      <c r="D15" s="308">
        <v>55570</v>
      </c>
      <c r="E15" s="308">
        <v>825000</v>
      </c>
      <c r="F15" s="308">
        <f>SUM('- 56-'!B15:F15,B15:E15)</f>
        <v>4757217</v>
      </c>
    </row>
    <row r="16" spans="1:6" ht="13.5" customHeight="1">
      <c r="A16" s="388" t="s">
        <v>331</v>
      </c>
      <c r="B16" s="309">
        <v>333086</v>
      </c>
      <c r="C16" s="309">
        <v>70405</v>
      </c>
      <c r="D16" s="309">
        <v>43557</v>
      </c>
      <c r="E16" s="309">
        <v>660000</v>
      </c>
      <c r="F16" s="309">
        <f>SUM('- 56-'!B16:F16,B16:E16)</f>
        <v>3573166</v>
      </c>
    </row>
    <row r="17" spans="1:6" ht="13.5" customHeight="1">
      <c r="A17" s="387" t="s">
        <v>332</v>
      </c>
      <c r="B17" s="308">
        <v>405314</v>
      </c>
      <c r="C17" s="308">
        <v>85846</v>
      </c>
      <c r="D17" s="308">
        <v>53003</v>
      </c>
      <c r="E17" s="308">
        <v>990000</v>
      </c>
      <c r="F17" s="308">
        <f>SUM('- 56-'!B17:F17,B17:E17)</f>
        <v>4853225</v>
      </c>
    </row>
    <row r="18" spans="1:6" ht="13.5" customHeight="1">
      <c r="A18" s="388" t="s">
        <v>333</v>
      </c>
      <c r="B18" s="309">
        <v>876564</v>
      </c>
      <c r="C18" s="309">
        <v>158578</v>
      </c>
      <c r="D18" s="309">
        <v>114628</v>
      </c>
      <c r="E18" s="309">
        <v>3818400</v>
      </c>
      <c r="F18" s="309">
        <f>SUM('- 56-'!B18:F18,B18:E18)</f>
        <v>12810336</v>
      </c>
    </row>
    <row r="19" spans="1:6" ht="13.5" customHeight="1">
      <c r="A19" s="387" t="s">
        <v>334</v>
      </c>
      <c r="B19" s="308">
        <v>737074</v>
      </c>
      <c r="C19" s="308">
        <v>145501</v>
      </c>
      <c r="D19" s="308">
        <v>96387</v>
      </c>
      <c r="E19" s="308">
        <v>907500</v>
      </c>
      <c r="F19" s="308">
        <f>SUM('- 56-'!B19:F19,B19:E19)</f>
        <v>7620481</v>
      </c>
    </row>
    <row r="20" spans="1:6" ht="13.5" customHeight="1">
      <c r="A20" s="388" t="s">
        <v>335</v>
      </c>
      <c r="B20" s="309">
        <v>1509091</v>
      </c>
      <c r="C20" s="309">
        <v>307065</v>
      </c>
      <c r="D20" s="309">
        <v>136414</v>
      </c>
      <c r="E20" s="309">
        <v>1980000</v>
      </c>
      <c r="F20" s="309">
        <f>SUM('- 56-'!B20:F20,B20:E20)</f>
        <v>15716804</v>
      </c>
    </row>
    <row r="21" spans="1:6" ht="13.5" customHeight="1">
      <c r="A21" s="387" t="s">
        <v>336</v>
      </c>
      <c r="B21" s="308">
        <v>888446</v>
      </c>
      <c r="C21" s="308">
        <v>187911</v>
      </c>
      <c r="D21" s="308">
        <v>116181</v>
      </c>
      <c r="E21" s="308">
        <v>1608445</v>
      </c>
      <c r="F21" s="308">
        <f>SUM('- 56-'!B21:F21,B21:E21)</f>
        <v>9837805</v>
      </c>
    </row>
    <row r="22" spans="1:6" ht="13.5" customHeight="1">
      <c r="A22" s="388" t="s">
        <v>337</v>
      </c>
      <c r="B22" s="309">
        <v>440726</v>
      </c>
      <c r="C22" s="309">
        <v>86338</v>
      </c>
      <c r="D22" s="309">
        <v>57633</v>
      </c>
      <c r="E22" s="309">
        <v>825000</v>
      </c>
      <c r="F22" s="309">
        <f>SUM('- 56-'!B22:F22,B22:E22)</f>
        <v>4672765</v>
      </c>
    </row>
    <row r="23" spans="1:6" ht="13.5" customHeight="1">
      <c r="A23" s="387" t="s">
        <v>338</v>
      </c>
      <c r="B23" s="308">
        <v>359190</v>
      </c>
      <c r="C23" s="308">
        <v>74579</v>
      </c>
      <c r="D23" s="308">
        <v>46971</v>
      </c>
      <c r="E23" s="308">
        <v>662563</v>
      </c>
      <c r="F23" s="308">
        <f>SUM('- 56-'!B23:F23,B23:E23)</f>
        <v>4252951</v>
      </c>
    </row>
    <row r="24" spans="1:6" ht="13.5" customHeight="1">
      <c r="A24" s="388" t="s">
        <v>339</v>
      </c>
      <c r="B24" s="309">
        <v>1212874</v>
      </c>
      <c r="C24" s="309">
        <v>251527</v>
      </c>
      <c r="D24" s="309">
        <v>158607</v>
      </c>
      <c r="E24" s="309">
        <v>1650000</v>
      </c>
      <c r="F24" s="309">
        <f>SUM('- 56-'!B24:F24,B24:E24)</f>
        <v>12638171</v>
      </c>
    </row>
    <row r="25" spans="1:6" ht="13.5" customHeight="1">
      <c r="A25" s="387" t="s">
        <v>340</v>
      </c>
      <c r="B25" s="308">
        <v>3860480</v>
      </c>
      <c r="C25" s="308">
        <v>792882</v>
      </c>
      <c r="D25" s="308">
        <v>504832</v>
      </c>
      <c r="E25" s="308">
        <v>6105000</v>
      </c>
      <c r="F25" s="308">
        <f>SUM('- 56-'!B25:F25,B25:E25)</f>
        <v>39769966</v>
      </c>
    </row>
    <row r="26" spans="1:6" ht="13.5" customHeight="1">
      <c r="A26" s="388" t="s">
        <v>341</v>
      </c>
      <c r="B26" s="309">
        <v>853840</v>
      </c>
      <c r="C26" s="309">
        <v>184910</v>
      </c>
      <c r="D26" s="309">
        <v>111656</v>
      </c>
      <c r="E26" s="309">
        <v>1858462</v>
      </c>
      <c r="F26" s="309">
        <f>SUM('- 56-'!B26:F26,B26:E26)</f>
        <v>9919492</v>
      </c>
    </row>
    <row r="27" spans="1:6" ht="13.5" customHeight="1">
      <c r="A27" s="387" t="s">
        <v>342</v>
      </c>
      <c r="B27" s="308">
        <v>847496</v>
      </c>
      <c r="C27" s="308">
        <v>168231</v>
      </c>
      <c r="D27" s="308">
        <v>110826</v>
      </c>
      <c r="E27" s="308">
        <v>1072500</v>
      </c>
      <c r="F27" s="308">
        <f>SUM('- 56-'!B27:F27,B27:E27)</f>
        <v>8473783</v>
      </c>
    </row>
    <row r="28" spans="1:6" ht="13.5" customHeight="1">
      <c r="A28" s="388" t="s">
        <v>343</v>
      </c>
      <c r="B28" s="309">
        <v>519870</v>
      </c>
      <c r="C28" s="309">
        <v>109347</v>
      </c>
      <c r="D28" s="309">
        <v>67938</v>
      </c>
      <c r="E28" s="309">
        <v>1137412</v>
      </c>
      <c r="F28" s="309">
        <f>SUM('- 56-'!B28:F28,B28:E28)</f>
        <v>6287452</v>
      </c>
    </row>
    <row r="29" spans="1:6" ht="13.5" customHeight="1">
      <c r="A29" s="387" t="s">
        <v>344</v>
      </c>
      <c r="B29" s="308">
        <v>3531502</v>
      </c>
      <c r="C29" s="308">
        <v>749209</v>
      </c>
      <c r="D29" s="308">
        <v>461812</v>
      </c>
      <c r="E29" s="308">
        <v>4702500</v>
      </c>
      <c r="F29" s="308">
        <f>SUM('- 56-'!B29:F29,B29:E29)</f>
        <v>35591722</v>
      </c>
    </row>
    <row r="30" spans="1:6" ht="13.5" customHeight="1">
      <c r="A30" s="388" t="s">
        <v>345</v>
      </c>
      <c r="B30" s="309">
        <v>338052</v>
      </c>
      <c r="C30" s="309">
        <v>69798</v>
      </c>
      <c r="D30" s="309">
        <v>44207</v>
      </c>
      <c r="E30" s="309">
        <v>668194</v>
      </c>
      <c r="F30" s="309">
        <f>SUM('- 56-'!B30:F30,B30:E30)</f>
        <v>3952858</v>
      </c>
    </row>
    <row r="31" spans="1:6" ht="13.5" customHeight="1">
      <c r="A31" s="387" t="s">
        <v>346</v>
      </c>
      <c r="B31" s="308">
        <v>885972</v>
      </c>
      <c r="C31" s="308">
        <v>181799</v>
      </c>
      <c r="D31" s="308">
        <v>105673</v>
      </c>
      <c r="E31" s="308">
        <v>1837471</v>
      </c>
      <c r="F31" s="308">
        <f>SUM('- 56-'!B31:F31,B31:E31)</f>
        <v>9767807</v>
      </c>
    </row>
    <row r="32" spans="1:6" ht="13.5" customHeight="1">
      <c r="A32" s="388" t="s">
        <v>347</v>
      </c>
      <c r="B32" s="309">
        <v>626210</v>
      </c>
      <c r="C32" s="309">
        <v>128043</v>
      </c>
      <c r="D32" s="309">
        <v>81889</v>
      </c>
      <c r="E32" s="309">
        <v>1140970</v>
      </c>
      <c r="F32" s="309">
        <f>SUM('- 56-'!B32:F32,B32:E32)</f>
        <v>7306204</v>
      </c>
    </row>
    <row r="33" spans="1:6" ht="13.5" customHeight="1">
      <c r="A33" s="387" t="s">
        <v>348</v>
      </c>
      <c r="B33" s="308">
        <v>676936</v>
      </c>
      <c r="C33" s="308">
        <v>144041</v>
      </c>
      <c r="D33" s="308">
        <v>88522</v>
      </c>
      <c r="E33" s="308">
        <v>1609210</v>
      </c>
      <c r="F33" s="308">
        <f>SUM('- 56-'!B33:F33,B33:E33)</f>
        <v>8500801</v>
      </c>
    </row>
    <row r="34" spans="1:6" ht="13.5" customHeight="1">
      <c r="A34" s="388" t="s">
        <v>349</v>
      </c>
      <c r="B34" s="309">
        <v>579046</v>
      </c>
      <c r="C34" s="309">
        <v>120975</v>
      </c>
      <c r="D34" s="309">
        <v>75721</v>
      </c>
      <c r="E34" s="309">
        <v>1278268</v>
      </c>
      <c r="F34" s="309">
        <f>SUM('- 56-'!B34:F34,B34:E34)</f>
        <v>6939198</v>
      </c>
    </row>
    <row r="35" spans="1:6" ht="13.5" customHeight="1">
      <c r="A35" s="387" t="s">
        <v>350</v>
      </c>
      <c r="B35" s="308">
        <v>4635488</v>
      </c>
      <c r="C35" s="308">
        <v>975456</v>
      </c>
      <c r="D35" s="308">
        <v>606179</v>
      </c>
      <c r="E35" s="308">
        <v>6898968</v>
      </c>
      <c r="F35" s="308">
        <f>SUM('- 56-'!B35:F35,B35:E35)</f>
        <v>47430509</v>
      </c>
    </row>
    <row r="36" spans="1:6" ht="13.5" customHeight="1">
      <c r="A36" s="388" t="s">
        <v>351</v>
      </c>
      <c r="B36" s="309">
        <v>529256</v>
      </c>
      <c r="C36" s="309">
        <v>111159</v>
      </c>
      <c r="D36" s="309">
        <v>69210</v>
      </c>
      <c r="E36" s="309">
        <v>1051000</v>
      </c>
      <c r="F36" s="309">
        <f>SUM('- 56-'!B36:F36,B36:E36)</f>
        <v>6109759</v>
      </c>
    </row>
    <row r="37" spans="1:6" ht="13.5" customHeight="1">
      <c r="A37" s="387" t="s">
        <v>352</v>
      </c>
      <c r="B37" s="308">
        <v>908102</v>
      </c>
      <c r="C37" s="308">
        <v>185304</v>
      </c>
      <c r="D37" s="308">
        <v>118752</v>
      </c>
      <c r="E37" s="308">
        <v>1485000</v>
      </c>
      <c r="F37" s="308">
        <f>SUM('- 56-'!B37:F37,B37:E37)</f>
        <v>9951109</v>
      </c>
    </row>
    <row r="38" spans="1:6" ht="13.5" customHeight="1">
      <c r="A38" s="388" t="s">
        <v>353</v>
      </c>
      <c r="B38" s="309">
        <v>2211794</v>
      </c>
      <c r="C38" s="309">
        <v>460135</v>
      </c>
      <c r="D38" s="309">
        <v>289235</v>
      </c>
      <c r="E38" s="309">
        <v>3052500</v>
      </c>
      <c r="F38" s="309">
        <f>SUM('- 56-'!B38:F38,B38:E38)</f>
        <v>22389447</v>
      </c>
    </row>
    <row r="39" spans="1:6" ht="13.5" customHeight="1">
      <c r="A39" s="387" t="s">
        <v>354</v>
      </c>
      <c r="B39" s="308">
        <v>476736</v>
      </c>
      <c r="C39" s="308">
        <v>100745</v>
      </c>
      <c r="D39" s="308">
        <v>62342</v>
      </c>
      <c r="E39" s="308">
        <v>1011134</v>
      </c>
      <c r="F39" s="308">
        <f>SUM('- 56-'!B39:F39,B39:E39)</f>
        <v>5727892</v>
      </c>
    </row>
    <row r="40" spans="1:6" ht="13.5" customHeight="1">
      <c r="A40" s="388" t="s">
        <v>355</v>
      </c>
      <c r="B40" s="309">
        <v>2361632</v>
      </c>
      <c r="C40" s="309">
        <v>477133</v>
      </c>
      <c r="D40" s="309">
        <v>308829</v>
      </c>
      <c r="E40" s="309">
        <v>3795000</v>
      </c>
      <c r="F40" s="309">
        <f>SUM('- 56-'!B40:F40,B40:E40)</f>
        <v>24427754</v>
      </c>
    </row>
    <row r="41" spans="1:6" ht="13.5" customHeight="1">
      <c r="A41" s="387" t="s">
        <v>356</v>
      </c>
      <c r="B41" s="308">
        <v>1280526</v>
      </c>
      <c r="C41" s="308">
        <v>259456</v>
      </c>
      <c r="D41" s="308">
        <v>167453</v>
      </c>
      <c r="E41" s="308">
        <v>1928532</v>
      </c>
      <c r="F41" s="308">
        <f>SUM('- 56-'!B41:F41,B41:E41)</f>
        <v>13577022</v>
      </c>
    </row>
    <row r="42" spans="1:6" ht="13.5" customHeight="1">
      <c r="A42" s="388" t="s">
        <v>357</v>
      </c>
      <c r="B42" s="309">
        <v>478972</v>
      </c>
      <c r="C42" s="309">
        <v>99851</v>
      </c>
      <c r="D42" s="309">
        <v>62635</v>
      </c>
      <c r="E42" s="309">
        <v>990000</v>
      </c>
      <c r="F42" s="309">
        <f>SUM('- 56-'!B42:F42,B42:E42)</f>
        <v>5531448</v>
      </c>
    </row>
    <row r="43" spans="1:6" ht="13.5" customHeight="1">
      <c r="A43" s="387" t="s">
        <v>358</v>
      </c>
      <c r="B43" s="308">
        <v>322582</v>
      </c>
      <c r="C43" s="308">
        <v>69224</v>
      </c>
      <c r="D43" s="308">
        <v>42184</v>
      </c>
      <c r="E43" s="308">
        <v>577500</v>
      </c>
      <c r="F43" s="308">
        <f>SUM('- 56-'!B43:F43,B43:E43)</f>
        <v>3568131</v>
      </c>
    </row>
    <row r="44" spans="1:6" ht="13.5" customHeight="1">
      <c r="A44" s="388" t="s">
        <v>359</v>
      </c>
      <c r="B44" s="309">
        <v>214110</v>
      </c>
      <c r="C44" s="309">
        <v>41943</v>
      </c>
      <c r="D44" s="309">
        <v>27999</v>
      </c>
      <c r="E44" s="309">
        <v>460977</v>
      </c>
      <c r="F44" s="309">
        <f>SUM('- 56-'!B44:F44,B44:E44)</f>
        <v>2655548</v>
      </c>
    </row>
    <row r="45" spans="1:6" ht="13.5" customHeight="1">
      <c r="A45" s="387" t="s">
        <v>360</v>
      </c>
      <c r="B45" s="308">
        <v>375310</v>
      </c>
      <c r="C45" s="308">
        <v>77736</v>
      </c>
      <c r="D45" s="308">
        <v>49079</v>
      </c>
      <c r="E45" s="308">
        <v>577500</v>
      </c>
      <c r="F45" s="308">
        <f>SUM('- 56-'!B45:F45,B45:E45)</f>
        <v>3894861</v>
      </c>
    </row>
    <row r="46" spans="1:6" ht="13.5" customHeight="1">
      <c r="A46" s="388" t="s">
        <v>361</v>
      </c>
      <c r="B46" s="309">
        <v>7908186</v>
      </c>
      <c r="C46" s="309">
        <v>1575950</v>
      </c>
      <c r="D46" s="309">
        <v>1034147</v>
      </c>
      <c r="E46" s="309">
        <v>14107500</v>
      </c>
      <c r="F46" s="309">
        <f>SUM('- 56-'!B46:F46,B46:E46)</f>
        <v>83137323</v>
      </c>
    </row>
    <row r="47" spans="1:6" ht="13.5" customHeight="1">
      <c r="A47" s="387" t="s">
        <v>365</v>
      </c>
      <c r="B47" s="308">
        <v>0</v>
      </c>
      <c r="C47" s="308">
        <v>0</v>
      </c>
      <c r="D47" s="308">
        <v>0</v>
      </c>
      <c r="E47" s="308">
        <v>0</v>
      </c>
      <c r="F47" s="308">
        <f>SUM('- 56-'!B47:F47,B47:E47)</f>
        <v>0</v>
      </c>
    </row>
    <row r="48" spans="1:6" ht="4.5" customHeight="1">
      <c r="A48" s="389"/>
      <c r="B48" s="401"/>
      <c r="C48" s="401"/>
      <c r="D48" s="401"/>
      <c r="E48" s="401"/>
      <c r="F48" s="401"/>
    </row>
    <row r="49" spans="1:6" ht="13.5" customHeight="1">
      <c r="A49" s="383" t="s">
        <v>362</v>
      </c>
      <c r="B49" s="311">
        <f>SUM(B11:B47)</f>
        <v>45648195</v>
      </c>
      <c r="C49" s="311">
        <f>SUM(C11:C47)</f>
        <v>9366196</v>
      </c>
      <c r="D49" s="311">
        <f>SUM(D11:D47)</f>
        <v>5898220</v>
      </c>
      <c r="E49" s="311">
        <f>SUM(E11:E47)</f>
        <v>78130190</v>
      </c>
      <c r="F49" s="311">
        <f>SUM(F11:F47)</f>
        <v>489287541</v>
      </c>
    </row>
    <row r="50" spans="1:6" ht="4.5" customHeight="1">
      <c r="A50" s="389" t="s">
        <v>15</v>
      </c>
      <c r="B50" s="401"/>
      <c r="C50" s="401"/>
      <c r="D50" s="401"/>
      <c r="E50" s="401"/>
      <c r="F50" s="401"/>
    </row>
    <row r="51" spans="1:6" ht="13.5" customHeight="1">
      <c r="A51" s="388" t="s">
        <v>363</v>
      </c>
      <c r="B51" s="309">
        <v>17290</v>
      </c>
      <c r="C51" s="309">
        <v>3854</v>
      </c>
      <c r="D51" s="309">
        <v>2261</v>
      </c>
      <c r="E51" s="309">
        <v>0</v>
      </c>
      <c r="F51" s="402">
        <f>SUM('- 56-'!B51:F51,B51:E51)</f>
        <v>95792</v>
      </c>
    </row>
    <row r="52" spans="1:6" ht="13.5" customHeight="1">
      <c r="A52" s="387" t="s">
        <v>364</v>
      </c>
      <c r="B52" s="308">
        <v>61906</v>
      </c>
      <c r="C52" s="308">
        <v>14112</v>
      </c>
      <c r="D52" s="308">
        <v>7200</v>
      </c>
      <c r="E52" s="308">
        <v>0</v>
      </c>
      <c r="F52" s="403">
        <f>SUM('- 56-'!B52:F52,B52:E52)</f>
        <v>291645</v>
      </c>
    </row>
    <row r="53" spans="1:6" ht="49.5" customHeight="1">
      <c r="A53" s="324"/>
      <c r="B53" s="324"/>
      <c r="C53" s="315"/>
      <c r="D53" s="315"/>
      <c r="E53" s="315"/>
      <c r="F53" s="324"/>
    </row>
    <row r="54" spans="1:6" ht="15" customHeight="1">
      <c r="A54" s="99" t="s">
        <v>8</v>
      </c>
      <c r="B54" s="228"/>
      <c r="D54" s="99"/>
      <c r="E54" s="99"/>
      <c r="F54" s="99"/>
    </row>
    <row r="55" spans="1:6" ht="13.5" customHeight="1">
      <c r="A55" s="228"/>
      <c r="B55" s="228"/>
      <c r="D55" s="99"/>
      <c r="E55" s="99"/>
      <c r="F55" s="99"/>
    </row>
    <row r="56" spans="1:6" ht="13.5" customHeight="1">
      <c r="A56" s="228"/>
      <c r="B56" s="228"/>
      <c r="D56" s="99"/>
      <c r="E56" s="99"/>
      <c r="F56" s="99"/>
    </row>
    <row r="57" spans="1:6" ht="13.5" customHeight="1">
      <c r="A57" s="3"/>
      <c r="B57" s="3"/>
      <c r="C57" s="9"/>
      <c r="D57" s="105"/>
      <c r="E57" s="105"/>
      <c r="F57" s="105"/>
    </row>
    <row r="58" spans="1:6" ht="13.5" customHeight="1">
      <c r="A58" s="3"/>
      <c r="B58" s="3"/>
      <c r="C58" s="9"/>
      <c r="D58" s="9"/>
      <c r="E58" s="9"/>
      <c r="F58" s="9"/>
    </row>
    <row r="59" ht="13.5" customHeight="1"/>
    <row r="60" ht="13.5" customHeight="1"/>
  </sheetData>
  <printOptions horizontalCentered="1"/>
  <pageMargins left="0.5" right="0.5" top="0.6" bottom="0" header="0.3" footer="0"/>
  <pageSetup fitToHeight="1" fitToWidth="1" horizontalDpi="300" verticalDpi="300" orientation="portrait" scale="89"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7">
    <pageSetUpPr fitToPage="1"/>
  </sheetPr>
  <dimension ref="A1:F60"/>
  <sheetViews>
    <sheetView showGridLines="0" showZeros="0" workbookViewId="0" topLeftCell="A1">
      <selection activeCell="A1" sqref="A1"/>
    </sheetView>
  </sheetViews>
  <sheetFormatPr defaultColWidth="19.83203125" defaultRowHeight="12"/>
  <cols>
    <col min="1" max="1" width="33.83203125" style="67" customWidth="1"/>
    <col min="2" max="2" width="23.83203125" style="67" customWidth="1"/>
    <col min="3" max="4" width="17.83203125" style="67" customWidth="1"/>
    <col min="5" max="6" width="20.83203125" style="67" customWidth="1"/>
    <col min="7" max="7" width="14.83203125" style="67" customWidth="1"/>
    <col min="8" max="16384" width="19.83203125" style="67" customWidth="1"/>
  </cols>
  <sheetData>
    <row r="1" spans="1:6" ht="6.75" customHeight="1">
      <c r="A1" s="65"/>
      <c r="B1" s="65"/>
      <c r="C1" s="65"/>
      <c r="D1" s="65"/>
      <c r="E1" s="65"/>
      <c r="F1" s="65"/>
    </row>
    <row r="2" spans="1:6" ht="15.75" customHeight="1">
      <c r="A2" s="84"/>
      <c r="B2" s="474" t="str">
        <f>REVYEAR</f>
        <v>ANALYSIS OF OPERATING FUND REVENUE: 2002/2003 ACTUAL</v>
      </c>
      <c r="C2" s="339"/>
      <c r="D2" s="355"/>
      <c r="E2" s="355"/>
      <c r="F2" s="340" t="s">
        <v>255</v>
      </c>
    </row>
    <row r="3" spans="1:6" ht="15.75" customHeight="1">
      <c r="A3" s="87"/>
      <c r="B3" s="87"/>
      <c r="C3" s="65"/>
      <c r="D3" s="65"/>
      <c r="E3" s="65"/>
      <c r="F3" s="65"/>
    </row>
    <row r="4" spans="2:6" ht="15.75" customHeight="1">
      <c r="B4" s="357" t="str">
        <f>'- 56-'!B4</f>
        <v>EDUCATION, CITIZENSHIP AND YOUTH</v>
      </c>
      <c r="C4" s="89"/>
      <c r="D4" s="90"/>
      <c r="E4" s="90"/>
      <c r="F4" s="90"/>
    </row>
    <row r="5" spans="2:6" ht="15.75" customHeight="1">
      <c r="B5" s="358" t="s">
        <v>317</v>
      </c>
      <c r="C5" s="91"/>
      <c r="D5" s="92"/>
      <c r="E5" s="92"/>
      <c r="F5" s="92"/>
    </row>
    <row r="6" spans="2:6" ht="15.75" customHeight="1">
      <c r="B6" s="359" t="s">
        <v>132</v>
      </c>
      <c r="C6" s="85"/>
      <c r="D6" s="85"/>
      <c r="E6" s="102"/>
      <c r="F6" s="109"/>
    </row>
    <row r="7" spans="2:6" ht="15.75" customHeight="1">
      <c r="B7" s="93"/>
      <c r="C7" s="93"/>
      <c r="D7" s="35"/>
      <c r="E7" s="93" t="s">
        <v>41</v>
      </c>
      <c r="F7" s="93" t="s">
        <v>258</v>
      </c>
    </row>
    <row r="8" spans="1:6" ht="15.75" customHeight="1">
      <c r="A8" s="313"/>
      <c r="B8" s="430" t="s">
        <v>43</v>
      </c>
      <c r="C8" s="96" t="s">
        <v>153</v>
      </c>
      <c r="D8" s="96" t="s">
        <v>92</v>
      </c>
      <c r="E8" s="96" t="s">
        <v>76</v>
      </c>
      <c r="F8" s="96" t="s">
        <v>259</v>
      </c>
    </row>
    <row r="9" spans="1:6" ht="15.75" customHeight="1">
      <c r="A9" s="314" t="s">
        <v>112</v>
      </c>
      <c r="B9" s="432" t="s">
        <v>243</v>
      </c>
      <c r="C9" s="98" t="s">
        <v>279</v>
      </c>
      <c r="D9" s="98" t="s">
        <v>280</v>
      </c>
      <c r="E9" s="98" t="s">
        <v>109</v>
      </c>
      <c r="F9" s="98" t="s">
        <v>306</v>
      </c>
    </row>
    <row r="10" spans="1:5" ht="4.5" customHeight="1">
      <c r="A10" s="62"/>
      <c r="B10" s="65"/>
      <c r="C10" s="65"/>
      <c r="D10" s="65"/>
      <c r="E10" s="65"/>
    </row>
    <row r="11" spans="1:6" ht="13.5" customHeight="1">
      <c r="A11" s="387" t="s">
        <v>327</v>
      </c>
      <c r="B11" s="308">
        <v>703119</v>
      </c>
      <c r="C11" s="308">
        <v>521966</v>
      </c>
      <c r="D11" s="308">
        <v>32942</v>
      </c>
      <c r="E11" s="308">
        <v>34900</v>
      </c>
      <c r="F11" s="308">
        <v>12210</v>
      </c>
    </row>
    <row r="12" spans="1:6" ht="13.5" customHeight="1">
      <c r="A12" s="388" t="s">
        <v>328</v>
      </c>
      <c r="B12" s="309">
        <v>1294684</v>
      </c>
      <c r="C12" s="309">
        <v>926531</v>
      </c>
      <c r="D12" s="309">
        <v>74208</v>
      </c>
      <c r="E12" s="309">
        <v>157425</v>
      </c>
      <c r="F12" s="309">
        <v>23621</v>
      </c>
    </row>
    <row r="13" spans="1:6" ht="13.5" customHeight="1">
      <c r="A13" s="387" t="s">
        <v>329</v>
      </c>
      <c r="B13" s="308">
        <v>758760</v>
      </c>
      <c r="C13" s="308">
        <v>2564810</v>
      </c>
      <c r="D13" s="308">
        <v>439789</v>
      </c>
      <c r="E13" s="308">
        <v>404300</v>
      </c>
      <c r="F13" s="308">
        <v>274467</v>
      </c>
    </row>
    <row r="14" spans="1:6" ht="13.5" customHeight="1">
      <c r="A14" s="388" t="s">
        <v>366</v>
      </c>
      <c r="B14" s="309">
        <v>2114146</v>
      </c>
      <c r="C14" s="309">
        <v>969079</v>
      </c>
      <c r="D14" s="309">
        <v>151279</v>
      </c>
      <c r="E14" s="309">
        <v>29425</v>
      </c>
      <c r="F14" s="309">
        <v>74880</v>
      </c>
    </row>
    <row r="15" spans="1:6" ht="13.5" customHeight="1">
      <c r="A15" s="387" t="s">
        <v>330</v>
      </c>
      <c r="B15" s="308">
        <v>836240</v>
      </c>
      <c r="C15" s="308">
        <v>604104</v>
      </c>
      <c r="D15" s="308">
        <v>36901</v>
      </c>
      <c r="E15" s="308">
        <v>50800</v>
      </c>
      <c r="F15" s="308">
        <v>48078</v>
      </c>
    </row>
    <row r="16" spans="1:6" ht="13.5" customHeight="1">
      <c r="A16" s="388" t="s">
        <v>331</v>
      </c>
      <c r="B16" s="309">
        <v>28084</v>
      </c>
      <c r="C16" s="309">
        <v>359973</v>
      </c>
      <c r="D16" s="309">
        <v>32259</v>
      </c>
      <c r="E16" s="309">
        <v>42800</v>
      </c>
      <c r="F16" s="309">
        <v>44399</v>
      </c>
    </row>
    <row r="17" spans="1:6" ht="13.5" customHeight="1">
      <c r="A17" s="387" t="s">
        <v>332</v>
      </c>
      <c r="B17" s="308">
        <v>907779</v>
      </c>
      <c r="C17" s="308">
        <v>433068</v>
      </c>
      <c r="D17" s="308">
        <v>32203</v>
      </c>
      <c r="E17" s="308">
        <v>87750</v>
      </c>
      <c r="F17" s="308">
        <v>7560</v>
      </c>
    </row>
    <row r="18" spans="1:6" ht="13.5" customHeight="1">
      <c r="A18" s="388" t="s">
        <v>333</v>
      </c>
      <c r="B18" s="309">
        <v>1454364</v>
      </c>
      <c r="C18" s="309">
        <v>1421843</v>
      </c>
      <c r="D18" s="309">
        <v>586747</v>
      </c>
      <c r="E18" s="309">
        <v>64550</v>
      </c>
      <c r="F18" s="309">
        <v>465544</v>
      </c>
    </row>
    <row r="19" spans="1:6" ht="13.5" customHeight="1">
      <c r="A19" s="387" t="s">
        <v>334</v>
      </c>
      <c r="B19" s="308">
        <v>762801</v>
      </c>
      <c r="C19" s="308">
        <v>946541</v>
      </c>
      <c r="D19" s="308">
        <v>82856</v>
      </c>
      <c r="E19" s="308">
        <v>175550</v>
      </c>
      <c r="F19" s="308">
        <v>0</v>
      </c>
    </row>
    <row r="20" spans="1:6" ht="13.5" customHeight="1">
      <c r="A20" s="388" t="s">
        <v>335</v>
      </c>
      <c r="B20" s="309">
        <v>1880623</v>
      </c>
      <c r="C20" s="309">
        <v>1466426</v>
      </c>
      <c r="D20" s="309">
        <v>126304</v>
      </c>
      <c r="E20" s="309">
        <v>374200</v>
      </c>
      <c r="F20" s="309">
        <v>57963</v>
      </c>
    </row>
    <row r="21" spans="1:6" ht="13.5" customHeight="1">
      <c r="A21" s="387" t="s">
        <v>336</v>
      </c>
      <c r="B21" s="308">
        <v>1307781</v>
      </c>
      <c r="C21" s="308">
        <v>1114147</v>
      </c>
      <c r="D21" s="308">
        <v>68342</v>
      </c>
      <c r="E21" s="308">
        <v>109675</v>
      </c>
      <c r="F21" s="308">
        <v>46074</v>
      </c>
    </row>
    <row r="22" spans="1:6" ht="13.5" customHeight="1">
      <c r="A22" s="388" t="s">
        <v>337</v>
      </c>
      <c r="B22" s="309">
        <v>297104</v>
      </c>
      <c r="C22" s="309">
        <v>873011</v>
      </c>
      <c r="D22" s="309">
        <v>123125</v>
      </c>
      <c r="E22" s="309">
        <v>44450</v>
      </c>
      <c r="F22" s="309">
        <v>126600</v>
      </c>
    </row>
    <row r="23" spans="1:6" ht="13.5" customHeight="1">
      <c r="A23" s="387" t="s">
        <v>338</v>
      </c>
      <c r="B23" s="308">
        <v>1012510</v>
      </c>
      <c r="C23" s="308">
        <v>717600</v>
      </c>
      <c r="D23" s="308">
        <v>84920</v>
      </c>
      <c r="E23" s="308">
        <v>58000</v>
      </c>
      <c r="F23" s="308">
        <v>99720</v>
      </c>
    </row>
    <row r="24" spans="1:6" ht="13.5" customHeight="1">
      <c r="A24" s="388" t="s">
        <v>339</v>
      </c>
      <c r="B24" s="309">
        <v>1696251</v>
      </c>
      <c r="C24" s="309">
        <v>2123130</v>
      </c>
      <c r="D24" s="309">
        <v>115528</v>
      </c>
      <c r="E24" s="309">
        <v>347400</v>
      </c>
      <c r="F24" s="309">
        <v>251784</v>
      </c>
    </row>
    <row r="25" spans="1:6" ht="13.5" customHeight="1">
      <c r="A25" s="387" t="s">
        <v>340</v>
      </c>
      <c r="B25" s="308">
        <v>842505</v>
      </c>
      <c r="C25" s="308">
        <v>5396067</v>
      </c>
      <c r="D25" s="308">
        <v>594903</v>
      </c>
      <c r="E25" s="308">
        <v>477575</v>
      </c>
      <c r="F25" s="308">
        <v>299329</v>
      </c>
    </row>
    <row r="26" spans="1:6" ht="13.5" customHeight="1">
      <c r="A26" s="388" t="s">
        <v>341</v>
      </c>
      <c r="B26" s="309">
        <v>1555681</v>
      </c>
      <c r="C26" s="309">
        <v>1004574</v>
      </c>
      <c r="D26" s="309">
        <v>127143</v>
      </c>
      <c r="E26" s="309">
        <v>236025</v>
      </c>
      <c r="F26" s="309">
        <v>139882</v>
      </c>
    </row>
    <row r="27" spans="1:6" ht="13.5" customHeight="1">
      <c r="A27" s="387" t="s">
        <v>342</v>
      </c>
      <c r="B27" s="308">
        <v>40373</v>
      </c>
      <c r="C27" s="308">
        <v>1053397</v>
      </c>
      <c r="D27" s="308">
        <v>144656</v>
      </c>
      <c r="E27" s="308">
        <v>233800</v>
      </c>
      <c r="F27" s="308">
        <v>255514</v>
      </c>
    </row>
    <row r="28" spans="1:6" ht="13.5" customHeight="1">
      <c r="A28" s="388" t="s">
        <v>343</v>
      </c>
      <c r="B28" s="309">
        <v>1386550</v>
      </c>
      <c r="C28" s="309">
        <v>526548</v>
      </c>
      <c r="D28" s="309">
        <v>40500</v>
      </c>
      <c r="E28" s="309">
        <v>71375</v>
      </c>
      <c r="F28" s="309">
        <v>75652</v>
      </c>
    </row>
    <row r="29" spans="1:6" ht="13.5" customHeight="1">
      <c r="A29" s="387" t="s">
        <v>344</v>
      </c>
      <c r="B29" s="308">
        <v>581721</v>
      </c>
      <c r="C29" s="308">
        <v>4241834</v>
      </c>
      <c r="D29" s="308">
        <v>315576</v>
      </c>
      <c r="E29" s="308">
        <v>208700</v>
      </c>
      <c r="F29" s="308">
        <v>97236</v>
      </c>
    </row>
    <row r="30" spans="1:6" ht="13.5" customHeight="1">
      <c r="A30" s="388" t="s">
        <v>345</v>
      </c>
      <c r="B30" s="309">
        <v>806403</v>
      </c>
      <c r="C30" s="309">
        <v>550653</v>
      </c>
      <c r="D30" s="309">
        <v>27754</v>
      </c>
      <c r="E30" s="309">
        <v>31550</v>
      </c>
      <c r="F30" s="309">
        <v>43560</v>
      </c>
    </row>
    <row r="31" spans="1:6" ht="13.5" customHeight="1">
      <c r="A31" s="387" t="s">
        <v>346</v>
      </c>
      <c r="B31" s="308">
        <v>723502</v>
      </c>
      <c r="C31" s="308">
        <v>1135284</v>
      </c>
      <c r="D31" s="308">
        <v>307240</v>
      </c>
      <c r="E31" s="308">
        <v>127800</v>
      </c>
      <c r="F31" s="308">
        <v>208120</v>
      </c>
    </row>
    <row r="32" spans="1:6" ht="13.5" customHeight="1">
      <c r="A32" s="388" t="s">
        <v>347</v>
      </c>
      <c r="B32" s="309">
        <v>1212352</v>
      </c>
      <c r="C32" s="309">
        <v>778001</v>
      </c>
      <c r="D32" s="309">
        <v>58048</v>
      </c>
      <c r="E32" s="309">
        <v>94000</v>
      </c>
      <c r="F32" s="309">
        <v>83874</v>
      </c>
    </row>
    <row r="33" spans="1:6" ht="13.5" customHeight="1">
      <c r="A33" s="387" t="s">
        <v>348</v>
      </c>
      <c r="B33" s="308">
        <v>1571277</v>
      </c>
      <c r="C33" s="308">
        <v>901802</v>
      </c>
      <c r="D33" s="308">
        <v>58649</v>
      </c>
      <c r="E33" s="308">
        <v>55075</v>
      </c>
      <c r="F33" s="308">
        <v>14472</v>
      </c>
    </row>
    <row r="34" spans="1:6" ht="13.5" customHeight="1">
      <c r="A34" s="388" t="s">
        <v>349</v>
      </c>
      <c r="B34" s="309">
        <v>1221354</v>
      </c>
      <c r="C34" s="309">
        <v>742372</v>
      </c>
      <c r="D34" s="309">
        <v>49652</v>
      </c>
      <c r="E34" s="309">
        <v>82075</v>
      </c>
      <c r="F34" s="309">
        <v>85037</v>
      </c>
    </row>
    <row r="35" spans="1:6" ht="13.5" customHeight="1">
      <c r="A35" s="387" t="s">
        <v>350</v>
      </c>
      <c r="B35" s="308">
        <v>1530142</v>
      </c>
      <c r="C35" s="308">
        <v>5923317</v>
      </c>
      <c r="D35" s="308">
        <v>672872</v>
      </c>
      <c r="E35" s="308">
        <v>741725</v>
      </c>
      <c r="F35" s="308">
        <v>264736</v>
      </c>
    </row>
    <row r="36" spans="1:6" ht="13.5" customHeight="1">
      <c r="A36" s="388" t="s">
        <v>351</v>
      </c>
      <c r="B36" s="309">
        <v>1077510</v>
      </c>
      <c r="C36" s="309">
        <v>563664</v>
      </c>
      <c r="D36" s="309">
        <v>65730</v>
      </c>
      <c r="E36" s="309">
        <v>48825</v>
      </c>
      <c r="F36" s="309">
        <v>33567</v>
      </c>
    </row>
    <row r="37" spans="1:6" ht="13.5" customHeight="1">
      <c r="A37" s="387" t="s">
        <v>352</v>
      </c>
      <c r="B37" s="308">
        <v>1234847</v>
      </c>
      <c r="C37" s="308">
        <v>1694110</v>
      </c>
      <c r="D37" s="308">
        <v>69854</v>
      </c>
      <c r="E37" s="308">
        <v>115500</v>
      </c>
      <c r="F37" s="308">
        <v>156918</v>
      </c>
    </row>
    <row r="38" spans="1:6" ht="13.5" customHeight="1">
      <c r="A38" s="388" t="s">
        <v>353</v>
      </c>
      <c r="B38" s="309">
        <v>788342</v>
      </c>
      <c r="C38" s="309">
        <v>3219729</v>
      </c>
      <c r="D38" s="309">
        <v>362972</v>
      </c>
      <c r="E38" s="309">
        <v>277000</v>
      </c>
      <c r="F38" s="309">
        <v>206976</v>
      </c>
    </row>
    <row r="39" spans="1:6" ht="13.5" customHeight="1">
      <c r="A39" s="387" t="s">
        <v>354</v>
      </c>
      <c r="B39" s="308">
        <v>1117485</v>
      </c>
      <c r="C39" s="308">
        <v>473457</v>
      </c>
      <c r="D39" s="308">
        <v>37988</v>
      </c>
      <c r="E39" s="308">
        <v>22500</v>
      </c>
      <c r="F39" s="308">
        <v>10548</v>
      </c>
    </row>
    <row r="40" spans="1:6" ht="13.5" customHeight="1">
      <c r="A40" s="388" t="s">
        <v>355</v>
      </c>
      <c r="B40" s="309">
        <v>549919</v>
      </c>
      <c r="C40" s="309">
        <v>3400904</v>
      </c>
      <c r="D40" s="309">
        <v>301160</v>
      </c>
      <c r="E40" s="309">
        <v>466550</v>
      </c>
      <c r="F40" s="309">
        <v>152544</v>
      </c>
    </row>
    <row r="41" spans="1:6" ht="13.5" customHeight="1">
      <c r="A41" s="387" t="s">
        <v>356</v>
      </c>
      <c r="B41" s="308">
        <v>2623409</v>
      </c>
      <c r="C41" s="308">
        <v>1772248</v>
      </c>
      <c r="D41" s="308">
        <v>98502</v>
      </c>
      <c r="E41" s="308">
        <v>115575</v>
      </c>
      <c r="F41" s="308">
        <v>88385</v>
      </c>
    </row>
    <row r="42" spans="1:6" ht="13.5" customHeight="1">
      <c r="A42" s="388" t="s">
        <v>357</v>
      </c>
      <c r="B42" s="309">
        <v>1043652</v>
      </c>
      <c r="C42" s="309">
        <v>710299</v>
      </c>
      <c r="D42" s="309">
        <v>64555</v>
      </c>
      <c r="E42" s="309">
        <v>171400</v>
      </c>
      <c r="F42" s="309">
        <v>118872</v>
      </c>
    </row>
    <row r="43" spans="1:6" ht="13.5" customHeight="1">
      <c r="A43" s="387" t="s">
        <v>358</v>
      </c>
      <c r="B43" s="308">
        <v>660545</v>
      </c>
      <c r="C43" s="308">
        <v>365452</v>
      </c>
      <c r="D43" s="308">
        <v>24814</v>
      </c>
      <c r="E43" s="308">
        <v>36750</v>
      </c>
      <c r="F43" s="308">
        <v>9672</v>
      </c>
    </row>
    <row r="44" spans="1:6" ht="13.5" customHeight="1">
      <c r="A44" s="388" t="s">
        <v>359</v>
      </c>
      <c r="B44" s="309">
        <v>753760</v>
      </c>
      <c r="C44" s="309">
        <v>384709</v>
      </c>
      <c r="D44" s="309">
        <v>59809</v>
      </c>
      <c r="E44" s="309">
        <v>25725</v>
      </c>
      <c r="F44" s="309">
        <v>64283</v>
      </c>
    </row>
    <row r="45" spans="1:6" ht="13.5" customHeight="1">
      <c r="A45" s="387" t="s">
        <v>360</v>
      </c>
      <c r="B45" s="308">
        <v>362012</v>
      </c>
      <c r="C45" s="308">
        <v>452744</v>
      </c>
      <c r="D45" s="308">
        <v>51426</v>
      </c>
      <c r="E45" s="308">
        <v>68675</v>
      </c>
      <c r="F45" s="308">
        <v>14190</v>
      </c>
    </row>
    <row r="46" spans="1:6" ht="13.5" customHeight="1">
      <c r="A46" s="388" t="s">
        <v>361</v>
      </c>
      <c r="B46" s="309">
        <v>1170093</v>
      </c>
      <c r="C46" s="309">
        <v>10952852</v>
      </c>
      <c r="D46" s="309">
        <v>6556442</v>
      </c>
      <c r="E46" s="309">
        <v>1249975</v>
      </c>
      <c r="F46" s="309">
        <v>1691629</v>
      </c>
    </row>
    <row r="47" spans="1:6" ht="13.5" customHeight="1">
      <c r="A47" s="387" t="s">
        <v>365</v>
      </c>
      <c r="B47" s="308">
        <v>0</v>
      </c>
      <c r="C47" s="308">
        <v>0</v>
      </c>
      <c r="D47" s="308">
        <v>0</v>
      </c>
      <c r="E47" s="308">
        <v>555900</v>
      </c>
      <c r="F47" s="308">
        <v>0</v>
      </c>
    </row>
    <row r="48" spans="1:6" ht="4.5" customHeight="1">
      <c r="A48" s="389"/>
      <c r="B48" s="401"/>
      <c r="C48" s="401"/>
      <c r="D48" s="401"/>
      <c r="E48" s="401"/>
      <c r="F48" s="401"/>
    </row>
    <row r="49" spans="1:6" ht="13.5" customHeight="1">
      <c r="A49" s="383" t="s">
        <v>362</v>
      </c>
      <c r="B49" s="311">
        <f>SUM(B11:B47)</f>
        <v>37907680</v>
      </c>
      <c r="C49" s="311">
        <f>SUM(C11:C47)</f>
        <v>61286246</v>
      </c>
      <c r="D49" s="311">
        <f>SUM(D11:D47)</f>
        <v>12077648</v>
      </c>
      <c r="E49" s="311">
        <f>SUM(E11:E47)</f>
        <v>7495300</v>
      </c>
      <c r="F49" s="311">
        <f>SUM(F11:F47)</f>
        <v>5647896</v>
      </c>
    </row>
    <row r="50" spans="1:6" ht="4.5" customHeight="1">
      <c r="A50" s="389" t="s">
        <v>15</v>
      </c>
      <c r="B50" s="401"/>
      <c r="C50" s="401"/>
      <c r="D50" s="401"/>
      <c r="E50" s="401"/>
      <c r="F50" s="401"/>
    </row>
    <row r="51" spans="1:6" ht="13.5" customHeight="1">
      <c r="A51" s="388" t="s">
        <v>363</v>
      </c>
      <c r="B51" s="309">
        <v>33510</v>
      </c>
      <c r="C51" s="309">
        <v>35059</v>
      </c>
      <c r="D51" s="309">
        <v>15000</v>
      </c>
      <c r="E51" s="309">
        <v>0</v>
      </c>
      <c r="F51" s="309">
        <v>3605</v>
      </c>
    </row>
    <row r="52" spans="1:6" ht="13.5" customHeight="1">
      <c r="A52" s="387" t="s">
        <v>364</v>
      </c>
      <c r="B52" s="308">
        <v>1191</v>
      </c>
      <c r="C52" s="308">
        <v>104099</v>
      </c>
      <c r="D52" s="308">
        <v>15000</v>
      </c>
      <c r="E52" s="308">
        <v>9650</v>
      </c>
      <c r="F52" s="308">
        <v>3120</v>
      </c>
    </row>
    <row r="53" spans="1:6" ht="49.5" customHeight="1">
      <c r="A53" s="324"/>
      <c r="B53" s="324"/>
      <c r="C53" s="315"/>
      <c r="D53" s="315"/>
      <c r="E53" s="315"/>
      <c r="F53" s="324"/>
    </row>
    <row r="54" spans="1:6" ht="15" customHeight="1">
      <c r="A54" s="99" t="s">
        <v>510</v>
      </c>
      <c r="B54" s="257"/>
      <c r="C54" s="99"/>
      <c r="D54" s="99"/>
      <c r="E54" s="99"/>
      <c r="F54" s="100"/>
    </row>
    <row r="55" spans="1:6" ht="13.5" customHeight="1">
      <c r="A55" s="518" t="s">
        <v>511</v>
      </c>
      <c r="B55" s="228"/>
      <c r="C55" s="99"/>
      <c r="D55" s="99"/>
      <c r="E55" s="99"/>
      <c r="F55" s="110"/>
    </row>
    <row r="56" spans="1:6" ht="13.5" customHeight="1">
      <c r="A56" s="99" t="s">
        <v>512</v>
      </c>
      <c r="C56" s="99"/>
      <c r="D56" s="99"/>
      <c r="E56" s="99"/>
      <c r="F56" s="100"/>
    </row>
    <row r="57" spans="1:6" ht="13.5" customHeight="1">
      <c r="A57" s="228"/>
      <c r="B57" s="228"/>
      <c r="C57" s="99"/>
      <c r="D57" s="99"/>
      <c r="E57" s="99"/>
      <c r="F57" s="100"/>
    </row>
    <row r="58" spans="1:6" ht="13.5" customHeight="1">
      <c r="A58" s="228"/>
      <c r="B58" s="228"/>
      <c r="C58" s="111"/>
      <c r="D58" s="99"/>
      <c r="E58" s="99"/>
      <c r="F58" s="100"/>
    </row>
    <row r="59" spans="1:5" ht="13.5" customHeight="1">
      <c r="A59" s="228"/>
      <c r="D59" s="82"/>
      <c r="E59" s="202"/>
    </row>
    <row r="60" ht="13.5" customHeight="1">
      <c r="A60" s="228"/>
    </row>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1" sqref="A1"/>
    </sheetView>
  </sheetViews>
  <sheetFormatPr defaultColWidth="15.83203125" defaultRowHeight="12"/>
  <cols>
    <col min="1" max="1" width="34.83203125" style="67" customWidth="1"/>
    <col min="2" max="3" width="18.83203125" style="67" customWidth="1"/>
    <col min="4" max="4" width="20.83203125" style="67" customWidth="1"/>
    <col min="5" max="5" width="1.83203125" style="67" customWidth="1"/>
    <col min="6" max="6" width="18.83203125" style="67" customWidth="1"/>
    <col min="7" max="7" width="20.83203125" style="67" customWidth="1"/>
    <col min="8" max="16384" width="15.83203125" style="67" customWidth="1"/>
  </cols>
  <sheetData>
    <row r="1" spans="1:6" ht="6.75" customHeight="1">
      <c r="A1" s="65"/>
      <c r="B1" s="65"/>
      <c r="C1" s="65"/>
      <c r="D1" s="65"/>
      <c r="E1" s="116"/>
      <c r="F1" s="116"/>
    </row>
    <row r="2" spans="1:7" ht="15.75" customHeight="1">
      <c r="A2" s="68"/>
      <c r="B2" s="360" t="s">
        <v>18</v>
      </c>
      <c r="C2" s="164"/>
      <c r="D2" s="164"/>
      <c r="E2" s="164"/>
      <c r="F2" s="178"/>
      <c r="G2" s="181" t="s">
        <v>20</v>
      </c>
    </row>
    <row r="3" spans="1:7" ht="15.75" customHeight="1">
      <c r="A3" s="70"/>
      <c r="B3" s="456" t="str">
        <f>STATDATE</f>
        <v>ACTUAL SEPTEMBER 30, 2002</v>
      </c>
      <c r="C3" s="167"/>
      <c r="D3" s="167"/>
      <c r="E3" s="167"/>
      <c r="F3" s="179"/>
      <c r="G3" s="179"/>
    </row>
    <row r="4" spans="5:6" ht="15.75" customHeight="1">
      <c r="E4" s="116"/>
      <c r="F4" s="116"/>
    </row>
    <row r="5" spans="2:6" ht="15.75" customHeight="1">
      <c r="B5"/>
      <c r="C5"/>
      <c r="D5"/>
      <c r="E5"/>
      <c r="F5"/>
    </row>
    <row r="6" spans="2:6" ht="15.75" customHeight="1">
      <c r="B6"/>
      <c r="C6"/>
      <c r="D6"/>
      <c r="E6"/>
      <c r="F6"/>
    </row>
    <row r="7" spans="2:7" ht="15.75" customHeight="1">
      <c r="B7" s="232" t="s">
        <v>74</v>
      </c>
      <c r="C7" s="233"/>
      <c r="D7" s="290" t="s">
        <v>75</v>
      </c>
      <c r="E7"/>
      <c r="F7" s="290" t="s">
        <v>81</v>
      </c>
      <c r="G7"/>
    </row>
    <row r="8" spans="1:7" ht="15.75" customHeight="1">
      <c r="A8" s="35"/>
      <c r="B8" s="249" t="s">
        <v>241</v>
      </c>
      <c r="C8" s="172"/>
      <c r="D8" s="249" t="s">
        <v>29</v>
      </c>
      <c r="E8" s="288"/>
      <c r="F8" s="172" t="s">
        <v>99</v>
      </c>
      <c r="G8"/>
    </row>
    <row r="9" spans="1:7" ht="15.75" customHeight="1">
      <c r="A9" s="415" t="s">
        <v>112</v>
      </c>
      <c r="B9" s="60" t="s">
        <v>41</v>
      </c>
      <c r="C9" s="60" t="s">
        <v>81</v>
      </c>
      <c r="D9" s="98" t="s">
        <v>56</v>
      </c>
      <c r="E9" s="289"/>
      <c r="F9" s="60" t="s">
        <v>220</v>
      </c>
      <c r="G9"/>
    </row>
    <row r="10" spans="1:7" ht="4.5" customHeight="1">
      <c r="A10" s="62"/>
      <c r="B10" s="83"/>
      <c r="C10" s="62"/>
      <c r="E10" s="123"/>
      <c r="G10"/>
    </row>
    <row r="11" spans="1:7" ht="13.5" customHeight="1">
      <c r="A11" s="387" t="s">
        <v>327</v>
      </c>
      <c r="B11" s="364">
        <v>0</v>
      </c>
      <c r="C11" s="364">
        <f>SUM('- 6 -'!B11:H11,B11)</f>
        <v>1584.5</v>
      </c>
      <c r="D11" s="364">
        <v>38</v>
      </c>
      <c r="E11" s="254"/>
      <c r="F11" s="364">
        <f>C11+D11</f>
        <v>1622.5</v>
      </c>
      <c r="G11"/>
    </row>
    <row r="12" spans="1:7" ht="13.5" customHeight="1">
      <c r="A12" s="388" t="s">
        <v>328</v>
      </c>
      <c r="B12" s="365">
        <v>71.3</v>
      </c>
      <c r="C12" s="365">
        <f>SUM('- 6 -'!B12:H12,B12)</f>
        <v>2349.9</v>
      </c>
      <c r="D12" s="365">
        <v>0</v>
      </c>
      <c r="E12" s="254"/>
      <c r="F12" s="365">
        <f aca="true" t="shared" si="0" ref="F12:F47">C12+D12</f>
        <v>2349.9</v>
      </c>
      <c r="G12"/>
    </row>
    <row r="13" spans="1:7" ht="13.5" customHeight="1">
      <c r="A13" s="387" t="s">
        <v>329</v>
      </c>
      <c r="B13" s="364">
        <v>329.6</v>
      </c>
      <c r="C13" s="364">
        <f>SUM('- 6 -'!B13:H13,B13)</f>
        <v>7104</v>
      </c>
      <c r="D13" s="364">
        <v>189</v>
      </c>
      <c r="E13" s="254"/>
      <c r="F13" s="364">
        <f t="shared" si="0"/>
        <v>7293</v>
      </c>
      <c r="G13"/>
    </row>
    <row r="14" spans="1:7" ht="13.5" customHeight="1">
      <c r="A14" s="388" t="s">
        <v>366</v>
      </c>
      <c r="B14" s="365">
        <v>0</v>
      </c>
      <c r="C14" s="365">
        <f>SUM('- 6 -'!B14:H14,B14)</f>
        <v>4220.7</v>
      </c>
      <c r="D14" s="365">
        <v>58.5</v>
      </c>
      <c r="E14" s="254"/>
      <c r="F14" s="365">
        <f t="shared" si="0"/>
        <v>4279.2</v>
      </c>
      <c r="G14"/>
    </row>
    <row r="15" spans="1:7" ht="13.5" customHeight="1">
      <c r="A15" s="387" t="s">
        <v>330</v>
      </c>
      <c r="B15" s="364">
        <v>13</v>
      </c>
      <c r="C15" s="364">
        <f>SUM('- 6 -'!B15:H15,B15)</f>
        <v>1686</v>
      </c>
      <c r="D15" s="364">
        <v>0</v>
      </c>
      <c r="E15" s="254"/>
      <c r="F15" s="364">
        <f t="shared" si="0"/>
        <v>1686</v>
      </c>
      <c r="G15"/>
    </row>
    <row r="16" spans="1:7" ht="13.5" customHeight="1">
      <c r="A16" s="388" t="s">
        <v>331</v>
      </c>
      <c r="B16" s="365">
        <v>23</v>
      </c>
      <c r="C16" s="365">
        <f>SUM('- 6 -'!B16:H16,B16)</f>
        <v>1403.12</v>
      </c>
      <c r="D16" s="365">
        <v>6</v>
      </c>
      <c r="E16" s="254"/>
      <c r="F16" s="365">
        <f t="shared" si="0"/>
        <v>1409.12</v>
      </c>
      <c r="G16"/>
    </row>
    <row r="17" spans="1:7" ht="13.5" customHeight="1">
      <c r="A17" s="387" t="s">
        <v>332</v>
      </c>
      <c r="B17" s="364">
        <v>31.5</v>
      </c>
      <c r="C17" s="364">
        <f>SUM('- 6 -'!B17:H17,B17)</f>
        <v>1570.68</v>
      </c>
      <c r="D17" s="364">
        <v>0</v>
      </c>
      <c r="E17" s="254"/>
      <c r="F17" s="364">
        <f t="shared" si="0"/>
        <v>1570.68</v>
      </c>
      <c r="G17"/>
    </row>
    <row r="18" spans="1:7" ht="13.5" customHeight="1">
      <c r="A18" s="388" t="s">
        <v>333</v>
      </c>
      <c r="B18" s="365">
        <v>22</v>
      </c>
      <c r="C18" s="365">
        <f>SUM('- 6 -'!B18:H18,B18)</f>
        <v>5925</v>
      </c>
      <c r="D18" s="365">
        <v>4</v>
      </c>
      <c r="E18" s="254"/>
      <c r="F18" s="365">
        <f t="shared" si="0"/>
        <v>5929</v>
      </c>
      <c r="G18"/>
    </row>
    <row r="19" spans="1:7" ht="13.5" customHeight="1">
      <c r="A19" s="387" t="s">
        <v>334</v>
      </c>
      <c r="B19" s="364">
        <v>86.5</v>
      </c>
      <c r="C19" s="364">
        <f>SUM('- 6 -'!B19:H19,B19)</f>
        <v>2859.1</v>
      </c>
      <c r="D19" s="364">
        <v>68.2</v>
      </c>
      <c r="E19" s="254"/>
      <c r="F19" s="364">
        <f t="shared" si="0"/>
        <v>2927.2999999999997</v>
      </c>
      <c r="G19"/>
    </row>
    <row r="20" spans="1:7" ht="13.5" customHeight="1">
      <c r="A20" s="388" t="s">
        <v>335</v>
      </c>
      <c r="B20" s="365">
        <v>288.9</v>
      </c>
      <c r="C20" s="365">
        <f>SUM('- 6 -'!B20:H20,B20)</f>
        <v>6116</v>
      </c>
      <c r="D20" s="365">
        <v>5</v>
      </c>
      <c r="E20" s="254"/>
      <c r="F20" s="365">
        <f t="shared" si="0"/>
        <v>6121</v>
      </c>
      <c r="G20"/>
    </row>
    <row r="21" spans="1:7" ht="13.5" customHeight="1">
      <c r="A21" s="387" t="s">
        <v>336</v>
      </c>
      <c r="B21" s="364">
        <v>0</v>
      </c>
      <c r="C21" s="364">
        <f>SUM('- 6 -'!B21:H21,B21)</f>
        <v>3289.4</v>
      </c>
      <c r="D21" s="364">
        <v>20</v>
      </c>
      <c r="E21" s="254"/>
      <c r="F21" s="364">
        <f t="shared" si="0"/>
        <v>3309.4</v>
      </c>
      <c r="G21"/>
    </row>
    <row r="22" spans="1:7" ht="13.5" customHeight="1">
      <c r="A22" s="388" t="s">
        <v>337</v>
      </c>
      <c r="B22" s="365">
        <v>0</v>
      </c>
      <c r="C22" s="365">
        <f>SUM('- 6 -'!B22:H22,B22)</f>
        <v>1648</v>
      </c>
      <c r="D22" s="365">
        <v>42</v>
      </c>
      <c r="E22" s="254"/>
      <c r="F22" s="365">
        <f t="shared" si="0"/>
        <v>1690</v>
      </c>
      <c r="G22"/>
    </row>
    <row r="23" spans="1:7" ht="13.5" customHeight="1">
      <c r="A23" s="387" t="s">
        <v>338</v>
      </c>
      <c r="B23" s="364">
        <v>39</v>
      </c>
      <c r="C23" s="364">
        <f>SUM('- 6 -'!B23:H23,B23)</f>
        <v>1371.1</v>
      </c>
      <c r="D23" s="364">
        <v>0</v>
      </c>
      <c r="E23" s="254"/>
      <c r="F23" s="364">
        <f t="shared" si="0"/>
        <v>1371.1</v>
      </c>
      <c r="G23"/>
    </row>
    <row r="24" spans="1:7" ht="13.5" customHeight="1">
      <c r="A24" s="388" t="s">
        <v>339</v>
      </c>
      <c r="B24" s="365">
        <v>250</v>
      </c>
      <c r="C24" s="365">
        <f>SUM('- 6 -'!B24:H24,B24)</f>
        <v>4583.7</v>
      </c>
      <c r="D24" s="365">
        <v>28</v>
      </c>
      <c r="E24" s="254"/>
      <c r="F24" s="365">
        <f t="shared" si="0"/>
        <v>4611.7</v>
      </c>
      <c r="G24"/>
    </row>
    <row r="25" spans="1:7" ht="13.5" customHeight="1">
      <c r="A25" s="387" t="s">
        <v>340</v>
      </c>
      <c r="B25" s="364">
        <v>201.5</v>
      </c>
      <c r="C25" s="364">
        <f>SUM('- 6 -'!B25:H25,B25)</f>
        <v>14723.2</v>
      </c>
      <c r="D25" s="364">
        <v>166</v>
      </c>
      <c r="E25" s="254"/>
      <c r="F25" s="364">
        <f t="shared" si="0"/>
        <v>14889.2</v>
      </c>
      <c r="G25"/>
    </row>
    <row r="26" spans="1:7" ht="13.5" customHeight="1">
      <c r="A26" s="388" t="s">
        <v>341</v>
      </c>
      <c r="B26" s="365">
        <v>153</v>
      </c>
      <c r="C26" s="365">
        <f>SUM('- 6 -'!B26:H26,B26)</f>
        <v>3327</v>
      </c>
      <c r="D26" s="365">
        <v>23</v>
      </c>
      <c r="E26" s="254"/>
      <c r="F26" s="365">
        <f t="shared" si="0"/>
        <v>3350</v>
      </c>
      <c r="G26"/>
    </row>
    <row r="27" spans="1:7" ht="13.5" customHeight="1">
      <c r="A27" s="387" t="s">
        <v>342</v>
      </c>
      <c r="B27" s="364">
        <v>152.2</v>
      </c>
      <c r="C27" s="364">
        <f>SUM('- 6 -'!B27:H27,B27)</f>
        <v>3259.2999999999997</v>
      </c>
      <c r="D27" s="364">
        <v>59</v>
      </c>
      <c r="E27" s="254"/>
      <c r="F27" s="364">
        <f t="shared" si="0"/>
        <v>3318.2999999999997</v>
      </c>
      <c r="G27"/>
    </row>
    <row r="28" spans="1:7" ht="13.5" customHeight="1">
      <c r="A28" s="388" t="s">
        <v>343</v>
      </c>
      <c r="B28" s="365">
        <v>45.1</v>
      </c>
      <c r="C28" s="365">
        <f>SUM('- 6 -'!B28:H28,B28)</f>
        <v>2141.2</v>
      </c>
      <c r="D28" s="365">
        <v>0</v>
      </c>
      <c r="E28" s="254"/>
      <c r="F28" s="365">
        <f t="shared" si="0"/>
        <v>2141.2</v>
      </c>
      <c r="G28"/>
    </row>
    <row r="29" spans="1:7" ht="13.5" customHeight="1">
      <c r="A29" s="387" t="s">
        <v>344</v>
      </c>
      <c r="B29" s="364">
        <v>0</v>
      </c>
      <c r="C29" s="364">
        <f>SUM('- 6 -'!B29:H29,B29)</f>
        <v>13032.699999999999</v>
      </c>
      <c r="D29" s="364">
        <v>45.2</v>
      </c>
      <c r="E29" s="254"/>
      <c r="F29" s="364">
        <f t="shared" si="0"/>
        <v>13077.9</v>
      </c>
      <c r="G29"/>
    </row>
    <row r="30" spans="1:7" ht="13.5" customHeight="1">
      <c r="A30" s="388" t="s">
        <v>345</v>
      </c>
      <c r="B30" s="365">
        <v>0</v>
      </c>
      <c r="C30" s="365">
        <f>SUM('- 6 -'!B30:H30,B30)</f>
        <v>1282.6</v>
      </c>
      <c r="D30" s="365">
        <v>0</v>
      </c>
      <c r="E30" s="254"/>
      <c r="F30" s="365">
        <f t="shared" si="0"/>
        <v>1282.6</v>
      </c>
      <c r="G30"/>
    </row>
    <row r="31" spans="1:7" ht="13.5" customHeight="1">
      <c r="A31" s="387" t="s">
        <v>346</v>
      </c>
      <c r="B31" s="364">
        <v>55</v>
      </c>
      <c r="C31" s="364">
        <f>SUM('- 6 -'!B31:H31,B31)</f>
        <v>3262.8</v>
      </c>
      <c r="D31" s="364">
        <v>102.5</v>
      </c>
      <c r="E31" s="254"/>
      <c r="F31" s="364">
        <f t="shared" si="0"/>
        <v>3365.3</v>
      </c>
      <c r="G31"/>
    </row>
    <row r="32" spans="1:7" ht="13.5" customHeight="1">
      <c r="A32" s="388" t="s">
        <v>347</v>
      </c>
      <c r="B32" s="365">
        <v>0</v>
      </c>
      <c r="C32" s="365">
        <f>SUM('- 6 -'!B32:H32,B32)</f>
        <v>2350</v>
      </c>
      <c r="D32" s="365">
        <v>0</v>
      </c>
      <c r="E32" s="254"/>
      <c r="F32" s="365">
        <f t="shared" si="0"/>
        <v>2350</v>
      </c>
      <c r="G32"/>
    </row>
    <row r="33" spans="1:7" ht="13.5" customHeight="1">
      <c r="A33" s="387" t="s">
        <v>348</v>
      </c>
      <c r="B33" s="364">
        <v>0</v>
      </c>
      <c r="C33" s="364">
        <f>SUM('- 6 -'!B33:H33,B33)</f>
        <v>2493.1</v>
      </c>
      <c r="D33" s="364">
        <v>0</v>
      </c>
      <c r="E33" s="254"/>
      <c r="F33" s="364">
        <f t="shared" si="0"/>
        <v>2493.1</v>
      </c>
      <c r="G33"/>
    </row>
    <row r="34" spans="1:7" ht="13.5" customHeight="1">
      <c r="A34" s="388" t="s">
        <v>349</v>
      </c>
      <c r="B34" s="365">
        <v>22.3</v>
      </c>
      <c r="C34" s="365">
        <f>SUM('- 6 -'!B34:H34,B34)</f>
        <v>2202.4</v>
      </c>
      <c r="D34" s="365">
        <v>9.6</v>
      </c>
      <c r="E34" s="254"/>
      <c r="F34" s="365">
        <f t="shared" si="0"/>
        <v>2212</v>
      </c>
      <c r="G34"/>
    </row>
    <row r="35" spans="1:7" ht="13.5" customHeight="1">
      <c r="A35" s="387" t="s">
        <v>350</v>
      </c>
      <c r="B35" s="364">
        <v>360.3</v>
      </c>
      <c r="C35" s="364">
        <f>SUM('- 6 -'!B35:H35,B35)</f>
        <v>17614.7</v>
      </c>
      <c r="D35" s="364">
        <v>203</v>
      </c>
      <c r="E35" s="254"/>
      <c r="F35" s="364">
        <f t="shared" si="0"/>
        <v>17817.7</v>
      </c>
      <c r="G35"/>
    </row>
    <row r="36" spans="1:7" ht="13.5" customHeight="1">
      <c r="A36" s="388" t="s">
        <v>351</v>
      </c>
      <c r="B36" s="365">
        <v>20.1</v>
      </c>
      <c r="C36" s="365">
        <f>SUM('- 6 -'!B36:H36,B36)</f>
        <v>2124</v>
      </c>
      <c r="D36" s="365">
        <v>0</v>
      </c>
      <c r="E36" s="254"/>
      <c r="F36" s="365">
        <f t="shared" si="0"/>
        <v>2124</v>
      </c>
      <c r="G36"/>
    </row>
    <row r="37" spans="1:7" ht="13.5" customHeight="1">
      <c r="A37" s="387" t="s">
        <v>352</v>
      </c>
      <c r="B37" s="364">
        <v>0</v>
      </c>
      <c r="C37" s="364">
        <f>SUM('- 6 -'!B37:H37,B37)</f>
        <v>3380.1</v>
      </c>
      <c r="D37" s="364">
        <v>0</v>
      </c>
      <c r="E37" s="254"/>
      <c r="F37" s="364">
        <f t="shared" si="0"/>
        <v>3380.1</v>
      </c>
      <c r="G37"/>
    </row>
    <row r="38" spans="1:7" ht="13.5" customHeight="1">
      <c r="A38" s="388" t="s">
        <v>353</v>
      </c>
      <c r="B38" s="365">
        <v>98</v>
      </c>
      <c r="C38" s="365">
        <f>SUM('- 6 -'!B38:H38,B38)</f>
        <v>8477.5</v>
      </c>
      <c r="D38" s="365">
        <v>46</v>
      </c>
      <c r="E38" s="254"/>
      <c r="F38" s="365">
        <f t="shared" si="0"/>
        <v>8523.5</v>
      </c>
      <c r="G38"/>
    </row>
    <row r="39" spans="1:7" ht="13.5" customHeight="1">
      <c r="A39" s="387" t="s">
        <v>354</v>
      </c>
      <c r="B39" s="364">
        <v>0</v>
      </c>
      <c r="C39" s="364">
        <f>SUM('- 6 -'!B39:H39,B39)</f>
        <v>1809</v>
      </c>
      <c r="D39" s="364">
        <v>0</v>
      </c>
      <c r="E39" s="254"/>
      <c r="F39" s="364">
        <f t="shared" si="0"/>
        <v>1809</v>
      </c>
      <c r="G39"/>
    </row>
    <row r="40" spans="1:7" ht="13.5" customHeight="1">
      <c r="A40" s="388" t="s">
        <v>355</v>
      </c>
      <c r="B40" s="365">
        <v>745</v>
      </c>
      <c r="C40" s="365">
        <f>SUM('- 6 -'!B40:H40,B40)</f>
        <v>9006.05</v>
      </c>
      <c r="D40" s="365">
        <v>113.3</v>
      </c>
      <c r="E40" s="254"/>
      <c r="F40" s="365">
        <f t="shared" si="0"/>
        <v>9119.349999999999</v>
      </c>
      <c r="G40"/>
    </row>
    <row r="41" spans="1:7" ht="13.5" customHeight="1">
      <c r="A41" s="387" t="s">
        <v>356</v>
      </c>
      <c r="B41" s="364">
        <v>0</v>
      </c>
      <c r="C41" s="364">
        <f>SUM('- 6 -'!B41:H41,B41)</f>
        <v>4898.8</v>
      </c>
      <c r="D41" s="364">
        <v>17</v>
      </c>
      <c r="E41" s="254"/>
      <c r="F41" s="364">
        <f t="shared" si="0"/>
        <v>4915.8</v>
      </c>
      <c r="G41"/>
    </row>
    <row r="42" spans="1:7" ht="13.5" customHeight="1">
      <c r="A42" s="388" t="s">
        <v>357</v>
      </c>
      <c r="B42" s="365">
        <v>137</v>
      </c>
      <c r="C42" s="365">
        <f>SUM('- 6 -'!B42:H42,B42)</f>
        <v>1880.3</v>
      </c>
      <c r="D42" s="365">
        <v>0</v>
      </c>
      <c r="E42" s="254"/>
      <c r="F42" s="365">
        <f t="shared" si="0"/>
        <v>1880.3</v>
      </c>
      <c r="G42"/>
    </row>
    <row r="43" spans="1:7" ht="13.5" customHeight="1">
      <c r="A43" s="387" t="s">
        <v>358</v>
      </c>
      <c r="B43" s="364">
        <v>0</v>
      </c>
      <c r="C43" s="364">
        <f>SUM('- 6 -'!B43:H43,B43)</f>
        <v>1219</v>
      </c>
      <c r="D43" s="364">
        <v>0</v>
      </c>
      <c r="E43" s="254"/>
      <c r="F43" s="364">
        <f t="shared" si="0"/>
        <v>1219</v>
      </c>
      <c r="G43"/>
    </row>
    <row r="44" spans="1:7" ht="13.5" customHeight="1">
      <c r="A44" s="388" t="s">
        <v>359</v>
      </c>
      <c r="B44" s="365">
        <v>0</v>
      </c>
      <c r="C44" s="365">
        <f>SUM('- 6 -'!B44:H44,B44)</f>
        <v>818.5</v>
      </c>
      <c r="D44" s="365">
        <v>0</v>
      </c>
      <c r="E44" s="254"/>
      <c r="F44" s="365">
        <f t="shared" si="0"/>
        <v>818.5</v>
      </c>
      <c r="G44"/>
    </row>
    <row r="45" spans="1:7" ht="13.5" customHeight="1">
      <c r="A45" s="387" t="s">
        <v>360</v>
      </c>
      <c r="B45" s="364">
        <v>0</v>
      </c>
      <c r="C45" s="364">
        <f>SUM('- 6 -'!B45:H45,B45)</f>
        <v>1449</v>
      </c>
      <c r="D45" s="364">
        <v>9</v>
      </c>
      <c r="E45" s="254"/>
      <c r="F45" s="364">
        <f t="shared" si="0"/>
        <v>1458</v>
      </c>
      <c r="G45"/>
    </row>
    <row r="46" spans="1:7" ht="13.5" customHeight="1">
      <c r="A46" s="388" t="s">
        <v>361</v>
      </c>
      <c r="B46" s="365">
        <v>593.6</v>
      </c>
      <c r="C46" s="365">
        <f>SUM('- 6 -'!B46:H46,B46)</f>
        <v>29698</v>
      </c>
      <c r="D46" s="365">
        <v>1125</v>
      </c>
      <c r="E46" s="254"/>
      <c r="F46" s="365">
        <f t="shared" si="0"/>
        <v>30823</v>
      </c>
      <c r="G46"/>
    </row>
    <row r="47" spans="1:7" ht="13.5" customHeight="1">
      <c r="A47" s="387" t="s">
        <v>365</v>
      </c>
      <c r="B47" s="364">
        <v>586.9</v>
      </c>
      <c r="C47" s="364">
        <f>SUM('- 6 -'!B47:H47,B47)</f>
        <v>616.78</v>
      </c>
      <c r="D47" s="364">
        <v>0</v>
      </c>
      <c r="E47" s="254"/>
      <c r="F47" s="364">
        <f t="shared" si="0"/>
        <v>616.78</v>
      </c>
      <c r="G47"/>
    </row>
    <row r="48" spans="1:7" ht="4.5" customHeight="1">
      <c r="A48" s="389"/>
      <c r="B48" s="366"/>
      <c r="C48" s="366"/>
      <c r="D48" s="366"/>
      <c r="E48" s="255"/>
      <c r="F48" s="366"/>
      <c r="G48"/>
    </row>
    <row r="49" spans="1:7" ht="13.5" customHeight="1">
      <c r="A49" s="383" t="s">
        <v>362</v>
      </c>
      <c r="B49" s="367">
        <f>SUM(B11:B47)</f>
        <v>4324.8</v>
      </c>
      <c r="C49" s="367">
        <f>SUM(C11:C47)</f>
        <v>176777.22999999998</v>
      </c>
      <c r="D49" s="367">
        <f>SUM(D11:D47)</f>
        <v>2377.3</v>
      </c>
      <c r="E49" s="256"/>
      <c r="F49" s="367">
        <f>SUM(F11:F47)</f>
        <v>179154.52999999997</v>
      </c>
      <c r="G49"/>
    </row>
    <row r="50" spans="1:7" ht="4.5" customHeight="1">
      <c r="A50" s="389" t="s">
        <v>15</v>
      </c>
      <c r="B50" s="366"/>
      <c r="C50" s="366"/>
      <c r="D50" s="366"/>
      <c r="E50" s="123"/>
      <c r="F50" s="366"/>
      <c r="G50"/>
    </row>
    <row r="51" spans="1:7" ht="13.5" customHeight="1">
      <c r="A51" s="388" t="s">
        <v>363</v>
      </c>
      <c r="B51" s="365">
        <v>0</v>
      </c>
      <c r="C51" s="365">
        <f>SUM('- 6 -'!B51:H51,B51)</f>
        <v>153</v>
      </c>
      <c r="D51" s="365">
        <v>0</v>
      </c>
      <c r="E51" s="254"/>
      <c r="F51" s="365">
        <f>C51+D51</f>
        <v>153</v>
      </c>
      <c r="G51"/>
    </row>
    <row r="52" spans="1:7" ht="13.5" customHeight="1">
      <c r="A52" s="387" t="s">
        <v>364</v>
      </c>
      <c r="B52" s="364">
        <v>0</v>
      </c>
      <c r="C52" s="364">
        <f>SUM('- 6 -'!B52:H52,B52)</f>
        <v>273</v>
      </c>
      <c r="D52" s="364">
        <v>0</v>
      </c>
      <c r="E52" s="254"/>
      <c r="F52" s="364">
        <f>C52+D52</f>
        <v>273</v>
      </c>
      <c r="G52"/>
    </row>
    <row r="53" spans="5:7" ht="49.5" customHeight="1">
      <c r="E53" s="123"/>
      <c r="G53"/>
    </row>
    <row r="54" ht="12.75">
      <c r="G54"/>
    </row>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F58"/>
  <sheetViews>
    <sheetView showGridLines="0" showZeros="0" workbookViewId="0" topLeftCell="A1">
      <selection activeCell="A1" sqref="A1"/>
    </sheetView>
  </sheetViews>
  <sheetFormatPr defaultColWidth="19.83203125" defaultRowHeight="12"/>
  <cols>
    <col min="1" max="1" width="35.83203125" style="67" customWidth="1"/>
    <col min="2" max="2" width="18.83203125" style="67" customWidth="1"/>
    <col min="3" max="4" width="19.83203125" style="67" customWidth="1"/>
    <col min="5" max="5" width="20.83203125" style="67" customWidth="1"/>
    <col min="6" max="6" width="19.83203125" style="67" customWidth="1"/>
    <col min="7" max="16384" width="19.83203125" style="67" customWidth="1"/>
  </cols>
  <sheetData>
    <row r="1" spans="1:6" ht="6.75" customHeight="1">
      <c r="A1" s="65"/>
      <c r="B1" s="65"/>
      <c r="C1" s="65"/>
      <c r="D1" s="65"/>
      <c r="E1" s="65"/>
      <c r="F1" s="65"/>
    </row>
    <row r="2" spans="1:6" ht="15.75" customHeight="1">
      <c r="A2" s="84"/>
      <c r="B2" s="474" t="str">
        <f>REVYEAR</f>
        <v>ANALYSIS OF OPERATING FUND REVENUE: 2002/2003 ACTUAL</v>
      </c>
      <c r="C2" s="339"/>
      <c r="D2" s="339"/>
      <c r="E2" s="339"/>
      <c r="F2" s="340" t="s">
        <v>256</v>
      </c>
    </row>
    <row r="3" spans="1:6" ht="15.75" customHeight="1">
      <c r="A3" s="87"/>
      <c r="B3" s="65"/>
      <c r="C3" s="65"/>
      <c r="D3" s="65"/>
      <c r="E3" s="65"/>
      <c r="F3" s="65"/>
    </row>
    <row r="4" spans="2:6" ht="15.75" customHeight="1">
      <c r="B4" s="357" t="str">
        <f>'- 56-'!B4</f>
        <v>EDUCATION, CITIZENSHIP AND YOUTH</v>
      </c>
      <c r="C4" s="296"/>
      <c r="D4" s="296"/>
      <c r="E4" s="89"/>
      <c r="F4" s="90"/>
    </row>
    <row r="5" spans="2:6" ht="15.75" customHeight="1">
      <c r="B5" s="358" t="s">
        <v>317</v>
      </c>
      <c r="C5" s="297"/>
      <c r="D5" s="297"/>
      <c r="E5" s="91"/>
      <c r="F5" s="92"/>
    </row>
    <row r="6" spans="2:6" ht="15.75" customHeight="1">
      <c r="B6" s="359" t="s">
        <v>132</v>
      </c>
      <c r="C6" s="102"/>
      <c r="D6" s="102"/>
      <c r="E6" s="109"/>
      <c r="F6" s="109"/>
    </row>
    <row r="7" spans="2:6" ht="15.75" customHeight="1">
      <c r="B7" s="93" t="s">
        <v>98</v>
      </c>
      <c r="C7" s="93" t="s">
        <v>250</v>
      </c>
      <c r="D7" s="93" t="s">
        <v>250</v>
      </c>
      <c r="E7" s="35"/>
      <c r="F7" s="93" t="s">
        <v>81</v>
      </c>
    </row>
    <row r="8" spans="1:6" ht="15.75" customHeight="1">
      <c r="A8" s="313"/>
      <c r="B8" s="430" t="s">
        <v>116</v>
      </c>
      <c r="C8" s="96" t="s">
        <v>251</v>
      </c>
      <c r="D8" s="96" t="s">
        <v>261</v>
      </c>
      <c r="E8" s="96" t="s">
        <v>69</v>
      </c>
      <c r="F8" s="96" t="s">
        <v>159</v>
      </c>
    </row>
    <row r="9" spans="1:6" ht="15.75" customHeight="1">
      <c r="A9" s="314" t="s">
        <v>112</v>
      </c>
      <c r="B9" s="431" t="s">
        <v>260</v>
      </c>
      <c r="C9" s="98" t="s">
        <v>252</v>
      </c>
      <c r="D9" s="98" t="s">
        <v>252</v>
      </c>
      <c r="E9" s="98" t="s">
        <v>281</v>
      </c>
      <c r="F9" s="98" t="s">
        <v>181</v>
      </c>
    </row>
    <row r="10" spans="1:6" ht="4.5" customHeight="1">
      <c r="A10" s="62"/>
      <c r="B10" s="65"/>
      <c r="C10" s="65"/>
      <c r="D10" s="65"/>
      <c r="E10" s="65"/>
      <c r="F10" s="65"/>
    </row>
    <row r="11" spans="1:6" ht="13.5" customHeight="1">
      <c r="A11" s="387" t="s">
        <v>327</v>
      </c>
      <c r="B11" s="308">
        <v>3997</v>
      </c>
      <c r="C11" s="308">
        <v>17534</v>
      </c>
      <c r="D11" s="308">
        <v>38880</v>
      </c>
      <c r="E11" s="308">
        <v>74227</v>
      </c>
      <c r="F11" s="308">
        <f>SUM('- 58 -'!B11:F11,B11:E11)</f>
        <v>1439775</v>
      </c>
    </row>
    <row r="12" spans="1:6" ht="13.5" customHeight="1">
      <c r="A12" s="388" t="s">
        <v>328</v>
      </c>
      <c r="B12" s="309">
        <v>14338</v>
      </c>
      <c r="C12" s="309">
        <v>27438</v>
      </c>
      <c r="D12" s="309">
        <v>76140</v>
      </c>
      <c r="E12" s="309">
        <v>196821</v>
      </c>
      <c r="F12" s="309">
        <f>SUM('- 58 -'!B12:F12,B12:E12)</f>
        <v>2791206</v>
      </c>
    </row>
    <row r="13" spans="1:6" ht="13.5" customHeight="1">
      <c r="A13" s="387" t="s">
        <v>329</v>
      </c>
      <c r="B13" s="308">
        <v>133342</v>
      </c>
      <c r="C13" s="308">
        <v>79640</v>
      </c>
      <c r="D13" s="308">
        <v>290865</v>
      </c>
      <c r="E13" s="308">
        <v>61572</v>
      </c>
      <c r="F13" s="308">
        <f>SUM('- 58 -'!B13:F13,B13:E13)</f>
        <v>5007545</v>
      </c>
    </row>
    <row r="14" spans="1:6" ht="13.5" customHeight="1">
      <c r="A14" s="388" t="s">
        <v>366</v>
      </c>
      <c r="B14" s="309">
        <v>1199319</v>
      </c>
      <c r="C14" s="309">
        <v>50424</v>
      </c>
      <c r="D14" s="309">
        <v>136890</v>
      </c>
      <c r="E14" s="309">
        <v>582361</v>
      </c>
      <c r="F14" s="309">
        <f>SUM('- 58 -'!B14:F14,B14:E14)</f>
        <v>5307803</v>
      </c>
    </row>
    <row r="15" spans="1:6" ht="13.5" customHeight="1">
      <c r="A15" s="387" t="s">
        <v>330</v>
      </c>
      <c r="B15" s="308">
        <v>6303</v>
      </c>
      <c r="C15" s="308">
        <v>17875</v>
      </c>
      <c r="D15" s="308">
        <v>36045</v>
      </c>
      <c r="E15" s="308">
        <v>77598</v>
      </c>
      <c r="F15" s="308">
        <f>SUM('- 58 -'!B15:F15,B15:E15)</f>
        <v>1713944</v>
      </c>
    </row>
    <row r="16" spans="1:6" ht="13.5" customHeight="1">
      <c r="A16" s="388" t="s">
        <v>331</v>
      </c>
      <c r="B16" s="309">
        <v>26551</v>
      </c>
      <c r="C16" s="309">
        <v>13453</v>
      </c>
      <c r="D16" s="309">
        <v>36045</v>
      </c>
      <c r="E16" s="309">
        <v>731560</v>
      </c>
      <c r="F16" s="309">
        <f>SUM('- 58 -'!B16:F16,B16:E16)</f>
        <v>1315124</v>
      </c>
    </row>
    <row r="17" spans="1:6" ht="13.5" customHeight="1">
      <c r="A17" s="387" t="s">
        <v>332</v>
      </c>
      <c r="B17" s="308">
        <v>1889</v>
      </c>
      <c r="C17" s="308">
        <v>16280</v>
      </c>
      <c r="D17" s="308">
        <v>39285</v>
      </c>
      <c r="E17" s="308">
        <v>56624</v>
      </c>
      <c r="F17" s="308">
        <f>SUM('- 58 -'!B17:F17,B17:E17)</f>
        <v>1582438</v>
      </c>
    </row>
    <row r="18" spans="1:6" ht="13.5" customHeight="1">
      <c r="A18" s="388" t="s">
        <v>333</v>
      </c>
      <c r="B18" s="309">
        <v>945</v>
      </c>
      <c r="C18" s="309">
        <v>45089</v>
      </c>
      <c r="D18" s="309">
        <v>235100</v>
      </c>
      <c r="E18" s="309">
        <v>2936062</v>
      </c>
      <c r="F18" s="309">
        <f>SUM('- 58 -'!B18:F18,B18:E18)</f>
        <v>7210244</v>
      </c>
    </row>
    <row r="19" spans="1:6" ht="13.5" customHeight="1">
      <c r="A19" s="387" t="s">
        <v>334</v>
      </c>
      <c r="B19" s="308">
        <v>3005</v>
      </c>
      <c r="C19" s="308">
        <v>33165</v>
      </c>
      <c r="D19" s="308">
        <v>87885</v>
      </c>
      <c r="E19" s="308">
        <v>474192</v>
      </c>
      <c r="F19" s="308">
        <f>SUM('- 58 -'!B19:F19,B19:E19)</f>
        <v>2565995</v>
      </c>
    </row>
    <row r="20" spans="1:6" ht="13.5" customHeight="1">
      <c r="A20" s="388" t="s">
        <v>335</v>
      </c>
      <c r="B20" s="309">
        <v>26538</v>
      </c>
      <c r="C20" s="309">
        <v>71500</v>
      </c>
      <c r="D20" s="309">
        <v>196020</v>
      </c>
      <c r="E20" s="309">
        <v>616288</v>
      </c>
      <c r="F20" s="309">
        <f>SUM('- 58 -'!B20:F20,B20:E20)</f>
        <v>4815862</v>
      </c>
    </row>
    <row r="21" spans="1:6" ht="13.5" customHeight="1">
      <c r="A21" s="387" t="s">
        <v>336</v>
      </c>
      <c r="B21" s="308">
        <v>20326</v>
      </c>
      <c r="C21" s="308">
        <v>37235</v>
      </c>
      <c r="D21" s="308">
        <v>95175</v>
      </c>
      <c r="E21" s="308">
        <v>123456</v>
      </c>
      <c r="F21" s="308">
        <f>SUM('- 58 -'!B21:F21,B21:E21)</f>
        <v>2922211</v>
      </c>
    </row>
    <row r="22" spans="1:6" ht="13.5" customHeight="1">
      <c r="A22" s="388" t="s">
        <v>337</v>
      </c>
      <c r="B22" s="309">
        <v>40909</v>
      </c>
      <c r="C22" s="309">
        <v>20090</v>
      </c>
      <c r="D22" s="309">
        <v>75485</v>
      </c>
      <c r="E22" s="309">
        <v>960655</v>
      </c>
      <c r="F22" s="309">
        <f>SUM('- 58 -'!B22:F22,B22:E22)</f>
        <v>2561429</v>
      </c>
    </row>
    <row r="23" spans="1:6" ht="13.5" customHeight="1">
      <c r="A23" s="387" t="s">
        <v>338</v>
      </c>
      <c r="B23" s="308">
        <v>7184</v>
      </c>
      <c r="C23" s="308">
        <v>15202</v>
      </c>
      <c r="D23" s="308">
        <v>34830</v>
      </c>
      <c r="E23" s="308">
        <v>73659</v>
      </c>
      <c r="F23" s="308">
        <f>SUM('- 58 -'!B23:F23,B23:E23)</f>
        <v>2103625</v>
      </c>
    </row>
    <row r="24" spans="1:6" ht="13.5" customHeight="1">
      <c r="A24" s="388" t="s">
        <v>339</v>
      </c>
      <c r="B24" s="309">
        <v>89590</v>
      </c>
      <c r="C24" s="309">
        <v>52107</v>
      </c>
      <c r="D24" s="309">
        <v>225395</v>
      </c>
      <c r="E24" s="309">
        <v>56884</v>
      </c>
      <c r="F24" s="309">
        <f>SUM('- 58 -'!B24:F24,B24:E24)</f>
        <v>4958069</v>
      </c>
    </row>
    <row r="25" spans="1:6" ht="13.5" customHeight="1">
      <c r="A25" s="387" t="s">
        <v>340</v>
      </c>
      <c r="B25" s="308">
        <v>974805</v>
      </c>
      <c r="C25" s="308">
        <v>167543</v>
      </c>
      <c r="D25" s="308">
        <v>516170</v>
      </c>
      <c r="E25" s="308">
        <v>464243</v>
      </c>
      <c r="F25" s="308">
        <f>SUM('- 58 -'!B25:F25,B25:E25)</f>
        <v>9733140</v>
      </c>
    </row>
    <row r="26" spans="1:6" ht="13.5" customHeight="1">
      <c r="A26" s="388" t="s">
        <v>341</v>
      </c>
      <c r="B26" s="309">
        <v>38442</v>
      </c>
      <c r="C26" s="309">
        <v>33550</v>
      </c>
      <c r="D26" s="309">
        <v>93960</v>
      </c>
      <c r="E26" s="309">
        <v>142414</v>
      </c>
      <c r="F26" s="309">
        <f>SUM('- 58 -'!B26:F26,B26:E26)</f>
        <v>3371671</v>
      </c>
    </row>
    <row r="27" spans="1:6" ht="13.5" customHeight="1">
      <c r="A27" s="387" t="s">
        <v>342</v>
      </c>
      <c r="B27" s="308">
        <v>60449</v>
      </c>
      <c r="C27" s="308">
        <v>38786</v>
      </c>
      <c r="D27" s="308">
        <v>111655</v>
      </c>
      <c r="E27" s="308">
        <v>1833191</v>
      </c>
      <c r="F27" s="308">
        <f>SUM('- 58 -'!B27:F27,B27:E27)</f>
        <v>3771821</v>
      </c>
    </row>
    <row r="28" spans="1:6" ht="13.5" customHeight="1">
      <c r="A28" s="388" t="s">
        <v>343</v>
      </c>
      <c r="B28" s="309">
        <v>6779</v>
      </c>
      <c r="C28" s="309">
        <v>21890</v>
      </c>
      <c r="D28" s="309">
        <v>49410</v>
      </c>
      <c r="E28" s="309">
        <v>136356</v>
      </c>
      <c r="F28" s="309">
        <f>SUM('- 58 -'!B28:F28,B28:E28)</f>
        <v>2315060</v>
      </c>
    </row>
    <row r="29" spans="1:6" ht="13.5" customHeight="1">
      <c r="A29" s="387" t="s">
        <v>344</v>
      </c>
      <c r="B29" s="308">
        <v>501659</v>
      </c>
      <c r="C29" s="308">
        <v>144892</v>
      </c>
      <c r="D29" s="308">
        <v>377865</v>
      </c>
      <c r="E29" s="308">
        <v>631079</v>
      </c>
      <c r="F29" s="308">
        <f>SUM('- 58 -'!B29:F29,B29:E29)</f>
        <v>7100562</v>
      </c>
    </row>
    <row r="30" spans="1:6" ht="13.5" customHeight="1">
      <c r="A30" s="388" t="s">
        <v>345</v>
      </c>
      <c r="B30" s="309">
        <v>4622</v>
      </c>
      <c r="C30" s="309">
        <v>14784</v>
      </c>
      <c r="D30" s="309">
        <v>43740</v>
      </c>
      <c r="E30" s="309">
        <v>89157</v>
      </c>
      <c r="F30" s="309">
        <f>SUM('- 58 -'!B30:F30,B30:E30)</f>
        <v>1612223</v>
      </c>
    </row>
    <row r="31" spans="1:6" ht="13.5" customHeight="1">
      <c r="A31" s="387" t="s">
        <v>346</v>
      </c>
      <c r="B31" s="308">
        <v>58686</v>
      </c>
      <c r="C31" s="308">
        <v>39152</v>
      </c>
      <c r="D31" s="308">
        <v>99230</v>
      </c>
      <c r="E31" s="308">
        <v>110703</v>
      </c>
      <c r="F31" s="308">
        <f>SUM('- 58 -'!B31:F31,B31:E31)</f>
        <v>2809717</v>
      </c>
    </row>
    <row r="32" spans="1:6" ht="13.5" customHeight="1">
      <c r="A32" s="388" t="s">
        <v>347</v>
      </c>
      <c r="B32" s="309">
        <v>50251</v>
      </c>
      <c r="C32" s="309">
        <v>27216</v>
      </c>
      <c r="D32" s="309">
        <v>58725</v>
      </c>
      <c r="E32" s="309">
        <v>207192</v>
      </c>
      <c r="F32" s="309">
        <f>SUM('- 58 -'!B32:F32,B32:E32)</f>
        <v>2569659</v>
      </c>
    </row>
    <row r="33" spans="1:6" ht="13.5" customHeight="1">
      <c r="A33" s="387" t="s">
        <v>348</v>
      </c>
      <c r="B33" s="308">
        <v>45221</v>
      </c>
      <c r="C33" s="308">
        <v>28380</v>
      </c>
      <c r="D33" s="308">
        <v>61560</v>
      </c>
      <c r="E33" s="308">
        <v>281594</v>
      </c>
      <c r="F33" s="308">
        <f>SUM('- 58 -'!B33:F33,B33:E33)</f>
        <v>3018030</v>
      </c>
    </row>
    <row r="34" spans="1:6" ht="13.5" customHeight="1">
      <c r="A34" s="388" t="s">
        <v>349</v>
      </c>
      <c r="B34" s="309">
        <v>76261</v>
      </c>
      <c r="C34" s="309">
        <v>25098</v>
      </c>
      <c r="D34" s="309">
        <v>191921</v>
      </c>
      <c r="E34" s="309">
        <v>162115</v>
      </c>
      <c r="F34" s="309">
        <f>SUM('- 58 -'!B34:F34,B34:E34)</f>
        <v>2635885</v>
      </c>
    </row>
    <row r="35" spans="1:6" ht="13.5" customHeight="1">
      <c r="A35" s="387" t="s">
        <v>350</v>
      </c>
      <c r="B35" s="308">
        <v>591972</v>
      </c>
      <c r="C35" s="308">
        <v>194348</v>
      </c>
      <c r="D35" s="308">
        <v>614329</v>
      </c>
      <c r="E35" s="308">
        <v>328854</v>
      </c>
      <c r="F35" s="308">
        <f>SUM('- 58 -'!B35:F35,B35:E35)</f>
        <v>10862295</v>
      </c>
    </row>
    <row r="36" spans="1:6" ht="13.5" customHeight="1">
      <c r="A36" s="388" t="s">
        <v>351</v>
      </c>
      <c r="B36" s="309">
        <v>8389</v>
      </c>
      <c r="C36" s="309">
        <v>22528</v>
      </c>
      <c r="D36" s="309">
        <v>52650</v>
      </c>
      <c r="E36" s="309">
        <v>112653</v>
      </c>
      <c r="F36" s="309">
        <f>SUM('- 58 -'!B36:F36,B36:E36)</f>
        <v>1985516</v>
      </c>
    </row>
    <row r="37" spans="1:6" ht="13.5" customHeight="1">
      <c r="A37" s="387" t="s">
        <v>352</v>
      </c>
      <c r="B37" s="308">
        <v>258417</v>
      </c>
      <c r="C37" s="308">
        <v>40770</v>
      </c>
      <c r="D37" s="308">
        <v>94770</v>
      </c>
      <c r="E37" s="308">
        <v>43822</v>
      </c>
      <c r="F37" s="308">
        <f>SUM('- 58 -'!B37:F37,B37:E37)</f>
        <v>3709008</v>
      </c>
    </row>
    <row r="38" spans="1:6" ht="13.5" customHeight="1">
      <c r="A38" s="388" t="s">
        <v>353</v>
      </c>
      <c r="B38" s="309">
        <v>247727</v>
      </c>
      <c r="C38" s="309">
        <v>94435</v>
      </c>
      <c r="D38" s="309">
        <v>249075</v>
      </c>
      <c r="E38" s="309">
        <v>182426</v>
      </c>
      <c r="F38" s="309">
        <f>SUM('- 58 -'!B38:F38,B38:E38)</f>
        <v>5628682</v>
      </c>
    </row>
    <row r="39" spans="1:6" ht="13.5" customHeight="1">
      <c r="A39" s="387" t="s">
        <v>354</v>
      </c>
      <c r="B39" s="308">
        <v>10402</v>
      </c>
      <c r="C39" s="308">
        <v>19844</v>
      </c>
      <c r="D39" s="308">
        <v>47790</v>
      </c>
      <c r="E39" s="308">
        <v>126034</v>
      </c>
      <c r="F39" s="308">
        <f>SUM('- 58 -'!B39:F39,B39:E39)</f>
        <v>1866048</v>
      </c>
    </row>
    <row r="40" spans="1:6" ht="13.5" customHeight="1">
      <c r="A40" s="388" t="s">
        <v>355</v>
      </c>
      <c r="B40" s="309">
        <v>304793</v>
      </c>
      <c r="C40" s="309">
        <v>102377</v>
      </c>
      <c r="D40" s="309">
        <v>379885</v>
      </c>
      <c r="E40" s="309">
        <v>155083</v>
      </c>
      <c r="F40" s="309">
        <f>SUM('- 58 -'!B40:F40,B40:E40)</f>
        <v>5813215</v>
      </c>
    </row>
    <row r="41" spans="1:6" ht="13.5" customHeight="1">
      <c r="A41" s="387" t="s">
        <v>356</v>
      </c>
      <c r="B41" s="308">
        <v>123908</v>
      </c>
      <c r="C41" s="308">
        <v>56628</v>
      </c>
      <c r="D41" s="308">
        <v>169946</v>
      </c>
      <c r="E41" s="308">
        <v>144558</v>
      </c>
      <c r="F41" s="308">
        <f>SUM('- 58 -'!B41:F41,B41:E41)</f>
        <v>5193159</v>
      </c>
    </row>
    <row r="42" spans="1:6" ht="13.5" customHeight="1">
      <c r="A42" s="388" t="s">
        <v>357</v>
      </c>
      <c r="B42" s="309">
        <v>28385</v>
      </c>
      <c r="C42" s="309">
        <v>20273</v>
      </c>
      <c r="D42" s="309">
        <v>42525</v>
      </c>
      <c r="E42" s="309">
        <v>45182</v>
      </c>
      <c r="F42" s="309">
        <f>SUM('- 58 -'!B42:F42,B42:E42)</f>
        <v>2245143</v>
      </c>
    </row>
    <row r="43" spans="1:6" ht="13.5" customHeight="1">
      <c r="A43" s="387" t="s">
        <v>358</v>
      </c>
      <c r="B43" s="308">
        <v>3584</v>
      </c>
      <c r="C43" s="308">
        <v>13431</v>
      </c>
      <c r="D43" s="308">
        <v>34425</v>
      </c>
      <c r="E43" s="308">
        <v>55824</v>
      </c>
      <c r="F43" s="308">
        <f>SUM('- 58 -'!B43:F43,B43:E43)</f>
        <v>1204497</v>
      </c>
    </row>
    <row r="44" spans="1:6" ht="13.5" customHeight="1">
      <c r="A44" s="388" t="s">
        <v>359</v>
      </c>
      <c r="B44" s="309">
        <v>16681</v>
      </c>
      <c r="C44" s="309">
        <v>9680</v>
      </c>
      <c r="D44" s="309">
        <v>27540</v>
      </c>
      <c r="E44" s="309">
        <v>76528</v>
      </c>
      <c r="F44" s="309">
        <f>SUM('- 58 -'!B44:F44,B44:E44)</f>
        <v>1418715</v>
      </c>
    </row>
    <row r="45" spans="1:6" ht="13.5" customHeight="1">
      <c r="A45" s="387" t="s">
        <v>360</v>
      </c>
      <c r="B45" s="308">
        <v>29633</v>
      </c>
      <c r="C45" s="308">
        <v>16511</v>
      </c>
      <c r="D45" s="308">
        <v>38475</v>
      </c>
      <c r="E45" s="308">
        <v>37426</v>
      </c>
      <c r="F45" s="308">
        <f>SUM('- 58 -'!B45:F45,B45:E45)</f>
        <v>1071092</v>
      </c>
    </row>
    <row r="46" spans="1:6" ht="13.5" customHeight="1">
      <c r="A46" s="388" t="s">
        <v>361</v>
      </c>
      <c r="B46" s="309">
        <v>657984</v>
      </c>
      <c r="C46" s="309">
        <v>346790</v>
      </c>
      <c r="D46" s="309">
        <v>680800</v>
      </c>
      <c r="E46" s="309">
        <v>1162285</v>
      </c>
      <c r="F46" s="309">
        <f>SUM('- 58 -'!B46:F46,B46:E46)</f>
        <v>24468850</v>
      </c>
    </row>
    <row r="47" spans="1:6" ht="13.5" customHeight="1">
      <c r="A47" s="387" t="s">
        <v>365</v>
      </c>
      <c r="B47" s="308">
        <v>0</v>
      </c>
      <c r="C47" s="308">
        <v>0</v>
      </c>
      <c r="D47" s="308">
        <v>0</v>
      </c>
      <c r="E47" s="308">
        <v>0</v>
      </c>
      <c r="F47" s="308">
        <f>SUM('- 58 -'!B47:F47,B47:E47)</f>
        <v>555900</v>
      </c>
    </row>
    <row r="48" spans="1:6" ht="4.5" customHeight="1">
      <c r="A48" s="389"/>
      <c r="B48" s="401"/>
      <c r="C48" s="401"/>
      <c r="D48" s="401"/>
      <c r="E48" s="401"/>
      <c r="F48" s="401"/>
    </row>
    <row r="49" spans="1:6" ht="13.5" customHeight="1">
      <c r="A49" s="383" t="s">
        <v>362</v>
      </c>
      <c r="B49" s="311">
        <f>SUM(B11:B47)</f>
        <v>5673286</v>
      </c>
      <c r="C49" s="311">
        <f>SUM(C11:C47)</f>
        <v>1975938</v>
      </c>
      <c r="D49" s="311">
        <f>SUM(D11:D47)</f>
        <v>5640486</v>
      </c>
      <c r="E49" s="311">
        <f>SUM(E11:E47)</f>
        <v>13550678</v>
      </c>
      <c r="F49" s="311">
        <f>SUM(F11:F47)</f>
        <v>151255158</v>
      </c>
    </row>
    <row r="50" spans="1:6" ht="4.5" customHeight="1">
      <c r="A50" s="389" t="s">
        <v>15</v>
      </c>
      <c r="B50" s="401"/>
      <c r="C50" s="401"/>
      <c r="D50" s="401"/>
      <c r="E50" s="401"/>
      <c r="F50" s="401"/>
    </row>
    <row r="51" spans="1:6" ht="13.5" customHeight="1">
      <c r="A51" s="388" t="s">
        <v>363</v>
      </c>
      <c r="B51" s="309">
        <v>270</v>
      </c>
      <c r="C51" s="309">
        <v>627</v>
      </c>
      <c r="D51" s="309">
        <v>1215</v>
      </c>
      <c r="E51" s="309">
        <v>14805</v>
      </c>
      <c r="F51" s="309">
        <f>SUM('- 58 -'!B51:F51,B51:E51)</f>
        <v>104091</v>
      </c>
    </row>
    <row r="52" spans="1:6" ht="13.5" customHeight="1">
      <c r="A52" s="387" t="s">
        <v>364</v>
      </c>
      <c r="B52" s="308">
        <v>1109</v>
      </c>
      <c r="C52" s="308">
        <v>2266</v>
      </c>
      <c r="D52" s="308">
        <v>3240</v>
      </c>
      <c r="E52" s="308">
        <v>23183</v>
      </c>
      <c r="F52" s="308">
        <f>SUM('- 58 -'!B52:F52,B52:E52)</f>
        <v>162858</v>
      </c>
    </row>
    <row r="53" spans="1:6" ht="49.5" customHeight="1">
      <c r="A53" s="324"/>
      <c r="B53" s="315"/>
      <c r="C53" s="315"/>
      <c r="D53" s="315"/>
      <c r="E53" s="315"/>
      <c r="F53" s="315"/>
    </row>
    <row r="54" spans="1:6" ht="15" customHeight="1">
      <c r="A54" s="99" t="s">
        <v>528</v>
      </c>
      <c r="E54" s="99"/>
      <c r="F54" s="99"/>
    </row>
    <row r="55" spans="1:6" ht="13.5" customHeight="1">
      <c r="A55" s="482" t="s">
        <v>420</v>
      </c>
      <c r="E55" s="99"/>
      <c r="F55" s="99"/>
    </row>
    <row r="56" spans="2:6" ht="13.5" customHeight="1">
      <c r="B56" s="100"/>
      <c r="C56" s="100"/>
      <c r="D56" s="100"/>
      <c r="E56" s="99"/>
      <c r="F56" s="99"/>
    </row>
    <row r="57" spans="5:6" ht="13.5" customHeight="1">
      <c r="E57" s="105"/>
      <c r="F57" s="105"/>
    </row>
    <row r="58" spans="1:6" ht="13.5" customHeight="1">
      <c r="A58" s="3"/>
      <c r="B58" s="105"/>
      <c r="C58" s="105"/>
      <c r="D58" s="105"/>
      <c r="E58" s="105"/>
      <c r="F58" s="105"/>
    </row>
    <row r="59" ht="13.5" customHeight="1"/>
    <row r="60" ht="13.5"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E63"/>
  <sheetViews>
    <sheetView showGridLines="0" showZeros="0" workbookViewId="0" topLeftCell="A1">
      <selection activeCell="A1" sqref="A1"/>
    </sheetView>
  </sheetViews>
  <sheetFormatPr defaultColWidth="23.83203125" defaultRowHeight="12"/>
  <cols>
    <col min="1" max="1" width="34.83203125" style="67" customWidth="1"/>
    <col min="2" max="3" width="21.83203125" style="67" customWidth="1"/>
    <col min="4" max="4" width="22.83203125" style="67" customWidth="1"/>
    <col min="5" max="5" width="33.83203125" style="67" customWidth="1"/>
    <col min="6" max="16384" width="23.83203125" style="67" customWidth="1"/>
  </cols>
  <sheetData>
    <row r="1" spans="1:5" ht="6.75" customHeight="1">
      <c r="A1" s="65"/>
      <c r="B1" s="65"/>
      <c r="C1" s="65"/>
      <c r="D1" s="65"/>
      <c r="E1" s="65"/>
    </row>
    <row r="2" spans="1:5" ht="15.75" customHeight="1">
      <c r="A2" s="84"/>
      <c r="B2" s="474" t="str">
        <f>REVYEAR</f>
        <v>ANALYSIS OF OPERATING FUND REVENUE: 2002/2003 ACTUAL</v>
      </c>
      <c r="C2" s="339"/>
      <c r="D2" s="339"/>
      <c r="E2" s="340" t="s">
        <v>257</v>
      </c>
    </row>
    <row r="3" spans="1:5" ht="15.75" customHeight="1">
      <c r="A3" s="87"/>
      <c r="B3" s="88"/>
      <c r="C3" s="88"/>
      <c r="D3" s="88"/>
      <c r="E3" s="65"/>
    </row>
    <row r="4" ht="15.75" customHeight="1"/>
    <row r="5" spans="2:5" ht="15.75" customHeight="1">
      <c r="B5" s="357" t="str">
        <f>'- 56-'!B4</f>
        <v>EDUCATION, CITIZENSHIP AND YOUTH</v>
      </c>
      <c r="C5" s="89"/>
      <c r="D5" s="90"/>
      <c r="E5"/>
    </row>
    <row r="6" spans="2:5" ht="15.75" customHeight="1">
      <c r="B6" s="358" t="s">
        <v>317</v>
      </c>
      <c r="C6" s="91"/>
      <c r="D6" s="92"/>
      <c r="E6"/>
    </row>
    <row r="7" spans="2:5" ht="15.75" customHeight="1">
      <c r="B7" s="93"/>
      <c r="C7" s="93" t="s">
        <v>69</v>
      </c>
      <c r="D7" s="94" t="s">
        <v>319</v>
      </c>
      <c r="E7"/>
    </row>
    <row r="8" spans="1:5" ht="15.75" customHeight="1">
      <c r="A8" s="35"/>
      <c r="B8" s="96" t="s">
        <v>326</v>
      </c>
      <c r="C8" s="96" t="s">
        <v>160</v>
      </c>
      <c r="D8" s="97" t="s">
        <v>320</v>
      </c>
      <c r="E8"/>
    </row>
    <row r="9" spans="1:5" ht="15.75" customHeight="1">
      <c r="A9" s="415" t="s">
        <v>112</v>
      </c>
      <c r="B9" s="98" t="s">
        <v>307</v>
      </c>
      <c r="C9" s="98" t="s">
        <v>282</v>
      </c>
      <c r="D9" s="60" t="s">
        <v>160</v>
      </c>
      <c r="E9"/>
    </row>
    <row r="10" spans="1:5" ht="4.5" customHeight="1">
      <c r="A10" s="62"/>
      <c r="B10" s="65"/>
      <c r="C10" s="65"/>
      <c r="D10" s="65"/>
      <c r="E10"/>
    </row>
    <row r="11" spans="1:5" ht="13.5" customHeight="1">
      <c r="A11" s="387" t="s">
        <v>327</v>
      </c>
      <c r="B11" s="308">
        <v>479690</v>
      </c>
      <c r="C11" s="308">
        <v>70980</v>
      </c>
      <c r="D11" s="308">
        <f>SUM('- 57 -'!F11,'- 59-'!F11,B11:C11)</f>
        <v>6716288</v>
      </c>
      <c r="E11"/>
    </row>
    <row r="12" spans="1:5" ht="13.5" customHeight="1">
      <c r="A12" s="388" t="s">
        <v>328</v>
      </c>
      <c r="B12" s="309">
        <v>1206921</v>
      </c>
      <c r="C12" s="309">
        <v>107561</v>
      </c>
      <c r="D12" s="309">
        <f>SUM('- 57 -'!F12,'- 59-'!F12,B12:C12)</f>
        <v>10941298</v>
      </c>
      <c r="E12"/>
    </row>
    <row r="13" spans="1:5" ht="13.5" customHeight="1">
      <c r="A13" s="387" t="s">
        <v>329</v>
      </c>
      <c r="B13" s="308">
        <v>2556898</v>
      </c>
      <c r="C13" s="308">
        <v>229884</v>
      </c>
      <c r="D13" s="308">
        <f>SUM('- 57 -'!F13,'- 59-'!F13,B13:C13)</f>
        <v>27305693</v>
      </c>
      <c r="E13"/>
    </row>
    <row r="14" spans="1:5" ht="13.5" customHeight="1">
      <c r="A14" s="388" t="s">
        <v>366</v>
      </c>
      <c r="B14" s="309">
        <v>3266751</v>
      </c>
      <c r="C14" s="309">
        <v>161472</v>
      </c>
      <c r="D14" s="309">
        <f>SUM('- 57 -'!F14,'- 59-'!F14,B14:C14)</f>
        <v>21307741</v>
      </c>
      <c r="E14"/>
    </row>
    <row r="15" spans="1:5" ht="13.5" customHeight="1">
      <c r="A15" s="387" t="s">
        <v>330</v>
      </c>
      <c r="B15" s="308">
        <v>0</v>
      </c>
      <c r="C15" s="308">
        <v>75162</v>
      </c>
      <c r="D15" s="308">
        <f>SUM('- 57 -'!F15,'- 59-'!F15,B15:C15)</f>
        <v>6546323</v>
      </c>
      <c r="E15"/>
    </row>
    <row r="16" spans="1:5" ht="13.5" customHeight="1">
      <c r="A16" s="388" t="s">
        <v>331</v>
      </c>
      <c r="B16" s="309">
        <v>1223563</v>
      </c>
      <c r="C16" s="309">
        <v>56725</v>
      </c>
      <c r="D16" s="309">
        <f>SUM('- 57 -'!F16,'- 59-'!F16,B16:C16)</f>
        <v>6168578</v>
      </c>
      <c r="E16"/>
    </row>
    <row r="17" spans="1:5" ht="13.5" customHeight="1">
      <c r="A17" s="387" t="s">
        <v>332</v>
      </c>
      <c r="B17" s="308">
        <v>358887</v>
      </c>
      <c r="C17" s="308">
        <v>87294</v>
      </c>
      <c r="D17" s="308">
        <f>SUM('- 57 -'!F17,'- 59-'!F17,B17:C17)</f>
        <v>6881844</v>
      </c>
      <c r="E17"/>
    </row>
    <row r="18" spans="1:5" ht="13.5" customHeight="1">
      <c r="A18" s="388" t="s">
        <v>333</v>
      </c>
      <c r="B18" s="309">
        <v>6924881</v>
      </c>
      <c r="C18" s="309">
        <v>338454.46</v>
      </c>
      <c r="D18" s="309">
        <f>SUM('- 57 -'!F18,'- 59-'!F18,B18:C18)</f>
        <v>27283915.46</v>
      </c>
      <c r="E18"/>
    </row>
    <row r="19" spans="1:5" ht="13.5" customHeight="1">
      <c r="A19" s="387" t="s">
        <v>334</v>
      </c>
      <c r="B19" s="308">
        <v>1577753</v>
      </c>
      <c r="C19" s="308">
        <v>67583</v>
      </c>
      <c r="D19" s="308">
        <f>SUM('- 57 -'!F19,'- 59-'!F19,B19:C19)</f>
        <v>11831812</v>
      </c>
      <c r="E19"/>
    </row>
    <row r="20" spans="1:5" ht="13.5" customHeight="1">
      <c r="A20" s="388" t="s">
        <v>335</v>
      </c>
      <c r="B20" s="309">
        <v>2952194</v>
      </c>
      <c r="C20" s="309">
        <v>191934</v>
      </c>
      <c r="D20" s="309">
        <f>SUM('- 57 -'!F20,'- 59-'!F20,B20:C20)</f>
        <v>23676794</v>
      </c>
      <c r="E20"/>
    </row>
    <row r="21" spans="1:5" ht="13.5" customHeight="1">
      <c r="A21" s="387" t="s">
        <v>336</v>
      </c>
      <c r="B21" s="308">
        <v>1904090</v>
      </c>
      <c r="C21" s="308">
        <v>135114</v>
      </c>
      <c r="D21" s="308">
        <f>SUM('- 57 -'!F21,'- 59-'!F21,B21:C21)</f>
        <v>14799220</v>
      </c>
      <c r="E21"/>
    </row>
    <row r="22" spans="1:5" ht="13.5" customHeight="1">
      <c r="A22" s="388" t="s">
        <v>337</v>
      </c>
      <c r="B22" s="309">
        <v>1165981</v>
      </c>
      <c r="C22" s="309">
        <v>63438</v>
      </c>
      <c r="D22" s="309">
        <f>SUM('- 57 -'!F22,'- 59-'!F22,B22:C22)</f>
        <v>8463613</v>
      </c>
      <c r="E22"/>
    </row>
    <row r="23" spans="1:5" ht="13.5" customHeight="1">
      <c r="A23" s="387" t="s">
        <v>338</v>
      </c>
      <c r="B23" s="308">
        <v>841644</v>
      </c>
      <c r="C23" s="308">
        <v>76723</v>
      </c>
      <c r="D23" s="308">
        <f>SUM('- 57 -'!F23,'- 59-'!F23,B23:C23)</f>
        <v>7274943</v>
      </c>
      <c r="E23"/>
    </row>
    <row r="24" spans="1:5" ht="13.5" customHeight="1">
      <c r="A24" s="388" t="s">
        <v>339</v>
      </c>
      <c r="B24" s="309">
        <v>1814277</v>
      </c>
      <c r="C24" s="309">
        <v>222592</v>
      </c>
      <c r="D24" s="309">
        <f>SUM('- 57 -'!F24,'- 59-'!F24,B24:C24)</f>
        <v>19633109</v>
      </c>
      <c r="E24"/>
    </row>
    <row r="25" spans="1:5" ht="13.5" customHeight="1">
      <c r="A25" s="387" t="s">
        <v>340</v>
      </c>
      <c r="B25" s="308">
        <v>9630615</v>
      </c>
      <c r="C25" s="308">
        <v>496162</v>
      </c>
      <c r="D25" s="308">
        <f>SUM('- 57 -'!F25,'- 59-'!F25,B25:C25)</f>
        <v>59629883</v>
      </c>
      <c r="E25"/>
    </row>
    <row r="26" spans="1:5" ht="13.5" customHeight="1">
      <c r="A26" s="388" t="s">
        <v>341</v>
      </c>
      <c r="B26" s="309">
        <v>2180879</v>
      </c>
      <c r="C26" s="309">
        <v>265457</v>
      </c>
      <c r="D26" s="309">
        <f>SUM('- 57 -'!F26,'- 59-'!F26,B26:C26)</f>
        <v>15737499</v>
      </c>
      <c r="E26"/>
    </row>
    <row r="27" spans="1:5" ht="13.5" customHeight="1">
      <c r="A27" s="387" t="s">
        <v>342</v>
      </c>
      <c r="B27" s="308">
        <v>4676787</v>
      </c>
      <c r="C27" s="308">
        <v>99436</v>
      </c>
      <c r="D27" s="308">
        <f>SUM('- 57 -'!F27,'- 59-'!F27,B27:C27)</f>
        <v>17021827</v>
      </c>
      <c r="E27"/>
    </row>
    <row r="28" spans="1:5" ht="13.5" customHeight="1">
      <c r="A28" s="388" t="s">
        <v>343</v>
      </c>
      <c r="B28" s="309">
        <v>696981</v>
      </c>
      <c r="C28" s="309">
        <v>114401</v>
      </c>
      <c r="D28" s="309">
        <f>SUM('- 57 -'!F28,'- 59-'!F28,B28:C28)</f>
        <v>9413894</v>
      </c>
      <c r="E28"/>
    </row>
    <row r="29" spans="1:5" ht="13.5" customHeight="1">
      <c r="A29" s="387" t="s">
        <v>344</v>
      </c>
      <c r="B29" s="308">
        <v>3789311</v>
      </c>
      <c r="C29" s="308">
        <v>346814</v>
      </c>
      <c r="D29" s="308">
        <f>SUM('- 57 -'!F29,'- 59-'!F29,B29:C29)</f>
        <v>46828409</v>
      </c>
      <c r="E29"/>
    </row>
    <row r="30" spans="1:5" ht="13.5" customHeight="1">
      <c r="A30" s="388" t="s">
        <v>345</v>
      </c>
      <c r="B30" s="309">
        <v>658402</v>
      </c>
      <c r="C30" s="309">
        <v>77467</v>
      </c>
      <c r="D30" s="309">
        <f>SUM('- 57 -'!F30,'- 59-'!F30,B30:C30)</f>
        <v>6300950</v>
      </c>
      <c r="E30"/>
    </row>
    <row r="31" spans="1:5" ht="13.5" customHeight="1">
      <c r="A31" s="387" t="s">
        <v>346</v>
      </c>
      <c r="B31" s="308">
        <v>1386374</v>
      </c>
      <c r="C31" s="308">
        <v>114286</v>
      </c>
      <c r="D31" s="308">
        <f>SUM('- 57 -'!F31,'- 59-'!F31,B31:C31)</f>
        <v>14078184</v>
      </c>
      <c r="E31"/>
    </row>
    <row r="32" spans="1:5" ht="13.5" customHeight="1">
      <c r="A32" s="388" t="s">
        <v>347</v>
      </c>
      <c r="B32" s="309">
        <v>804698</v>
      </c>
      <c r="C32" s="309">
        <v>108054</v>
      </c>
      <c r="D32" s="309">
        <f>SUM('- 57 -'!F32,'- 59-'!F32,B32:C32)</f>
        <v>10788615</v>
      </c>
      <c r="E32"/>
    </row>
    <row r="33" spans="1:5" ht="13.5" customHeight="1">
      <c r="A33" s="387" t="s">
        <v>348</v>
      </c>
      <c r="B33" s="308">
        <v>1662327</v>
      </c>
      <c r="C33" s="308">
        <v>169833</v>
      </c>
      <c r="D33" s="308">
        <f>SUM('- 57 -'!F33,'- 59-'!F33,B33:C33)</f>
        <v>13350991</v>
      </c>
      <c r="E33"/>
    </row>
    <row r="34" spans="1:5" ht="13.5" customHeight="1">
      <c r="A34" s="388" t="s">
        <v>349</v>
      </c>
      <c r="B34" s="309">
        <v>535859</v>
      </c>
      <c r="C34" s="309">
        <v>102193</v>
      </c>
      <c r="D34" s="309">
        <f>SUM('- 57 -'!F34,'- 59-'!F34,B34:C34)</f>
        <v>10213135</v>
      </c>
      <c r="E34"/>
    </row>
    <row r="35" spans="1:5" ht="13.5" customHeight="1">
      <c r="A35" s="387" t="s">
        <v>350</v>
      </c>
      <c r="B35" s="308">
        <v>12940152</v>
      </c>
      <c r="C35" s="308">
        <v>566688</v>
      </c>
      <c r="D35" s="308">
        <f>SUM('- 57 -'!F35,'- 59-'!F35,B35:C35)</f>
        <v>71799644</v>
      </c>
      <c r="E35"/>
    </row>
    <row r="36" spans="1:5" ht="13.5" customHeight="1">
      <c r="A36" s="388" t="s">
        <v>351</v>
      </c>
      <c r="B36" s="309">
        <v>824440</v>
      </c>
      <c r="C36" s="309">
        <v>157486</v>
      </c>
      <c r="D36" s="309">
        <f>SUM('- 57 -'!F36,'- 59-'!F36,B36:C36)</f>
        <v>9077201</v>
      </c>
      <c r="E36"/>
    </row>
    <row r="37" spans="1:5" ht="13.5" customHeight="1">
      <c r="A37" s="387" t="s">
        <v>352</v>
      </c>
      <c r="B37" s="308">
        <v>2645755</v>
      </c>
      <c r="C37" s="308">
        <v>124112</v>
      </c>
      <c r="D37" s="308">
        <f>SUM('- 57 -'!F37,'- 59-'!F37,B37:C37)</f>
        <v>16429984</v>
      </c>
      <c r="E37"/>
    </row>
    <row r="38" spans="1:5" ht="13.5" customHeight="1">
      <c r="A38" s="388" t="s">
        <v>353</v>
      </c>
      <c r="B38" s="309">
        <v>8107997</v>
      </c>
      <c r="C38" s="309">
        <v>260309</v>
      </c>
      <c r="D38" s="309">
        <f>SUM('- 57 -'!F38,'- 59-'!F38,B38:C38)</f>
        <v>36386435</v>
      </c>
      <c r="E38"/>
    </row>
    <row r="39" spans="1:5" ht="13.5" customHeight="1">
      <c r="A39" s="387" t="s">
        <v>354</v>
      </c>
      <c r="B39" s="308">
        <v>398547</v>
      </c>
      <c r="C39" s="308">
        <v>110412</v>
      </c>
      <c r="D39" s="308">
        <f>SUM('- 57 -'!F39,'- 59-'!F39,B39:C39)</f>
        <v>8102899</v>
      </c>
      <c r="E39"/>
    </row>
    <row r="40" spans="1:5" ht="13.5" customHeight="1">
      <c r="A40" s="388" t="s">
        <v>355</v>
      </c>
      <c r="B40" s="309">
        <v>1009514</v>
      </c>
      <c r="C40" s="309">
        <v>401258</v>
      </c>
      <c r="D40" s="309">
        <f>SUM('- 57 -'!F40,'- 59-'!F40,B40:C40)</f>
        <v>31651741</v>
      </c>
      <c r="E40"/>
    </row>
    <row r="41" spans="1:5" ht="13.5" customHeight="1">
      <c r="A41" s="387" t="s">
        <v>356</v>
      </c>
      <c r="B41" s="308">
        <v>2508167</v>
      </c>
      <c r="C41" s="308">
        <v>189199</v>
      </c>
      <c r="D41" s="308">
        <f>SUM('- 57 -'!F41,'- 59-'!F41,B41:C41)</f>
        <v>21467547</v>
      </c>
      <c r="E41"/>
    </row>
    <row r="42" spans="1:5" ht="13.5" customHeight="1">
      <c r="A42" s="388" t="s">
        <v>357</v>
      </c>
      <c r="B42" s="309">
        <v>1257301</v>
      </c>
      <c r="C42" s="309">
        <v>106135</v>
      </c>
      <c r="D42" s="309">
        <f>SUM('- 57 -'!F42,'- 59-'!F42,B42:C42)</f>
        <v>9140027</v>
      </c>
      <c r="E42"/>
    </row>
    <row r="43" spans="1:5" ht="13.5" customHeight="1">
      <c r="A43" s="387" t="s">
        <v>358</v>
      </c>
      <c r="B43" s="308">
        <v>517088</v>
      </c>
      <c r="C43" s="308">
        <v>46091</v>
      </c>
      <c r="D43" s="308">
        <f>SUM('- 57 -'!F43,'- 59-'!F43,B43:C43)</f>
        <v>5335807</v>
      </c>
      <c r="E43"/>
    </row>
    <row r="44" spans="1:5" ht="13.5" customHeight="1">
      <c r="A44" s="388" t="s">
        <v>359</v>
      </c>
      <c r="B44" s="309">
        <v>558665</v>
      </c>
      <c r="C44" s="309">
        <v>62993</v>
      </c>
      <c r="D44" s="309">
        <f>SUM('- 57 -'!F44,'- 59-'!F44,B44:C44)</f>
        <v>4695921</v>
      </c>
      <c r="E44"/>
    </row>
    <row r="45" spans="1:5" ht="13.5" customHeight="1">
      <c r="A45" s="387" t="s">
        <v>360</v>
      </c>
      <c r="B45" s="308">
        <v>837176</v>
      </c>
      <c r="C45" s="308">
        <v>40355</v>
      </c>
      <c r="D45" s="308">
        <f>SUM('- 57 -'!F45,'- 59-'!F45,B45:C45)</f>
        <v>5843484</v>
      </c>
      <c r="E45"/>
    </row>
    <row r="46" spans="1:5" ht="13.5" customHeight="1">
      <c r="A46" s="388" t="s">
        <v>361</v>
      </c>
      <c r="B46" s="309">
        <v>18511335</v>
      </c>
      <c r="C46" s="309">
        <v>1065202</v>
      </c>
      <c r="D46" s="309">
        <f>SUM('- 57 -'!F46,'- 59-'!F46,B46:C46)</f>
        <v>127182710</v>
      </c>
      <c r="E46"/>
    </row>
    <row r="47" spans="1:5" ht="13.5" customHeight="1">
      <c r="A47" s="387" t="s">
        <v>365</v>
      </c>
      <c r="B47" s="308">
        <v>0</v>
      </c>
      <c r="C47" s="308">
        <v>169584</v>
      </c>
      <c r="D47" s="308">
        <f>SUM('- 57 -'!F47,'- 59-'!F47,B47:C47)</f>
        <v>725484</v>
      </c>
      <c r="E47"/>
    </row>
    <row r="48" spans="1:5" ht="4.5" customHeight="1">
      <c r="A48" s="389"/>
      <c r="B48" s="401"/>
      <c r="C48" s="401"/>
      <c r="D48" s="401"/>
      <c r="E48"/>
    </row>
    <row r="49" spans="1:5" ht="13.5" customHeight="1">
      <c r="A49" s="383" t="s">
        <v>362</v>
      </c>
      <c r="B49" s="311">
        <f>SUM(B11:B47)</f>
        <v>102411900</v>
      </c>
      <c r="C49" s="311">
        <f>SUM(C11:C47)</f>
        <v>7078843.46</v>
      </c>
      <c r="D49" s="311">
        <f>SUM(D11:D47)</f>
        <v>750033442.46</v>
      </c>
      <c r="E49"/>
    </row>
    <row r="50" spans="1:5" ht="4.5" customHeight="1">
      <c r="A50" s="389" t="s">
        <v>15</v>
      </c>
      <c r="B50" s="401"/>
      <c r="C50" s="401"/>
      <c r="D50" s="401"/>
      <c r="E50"/>
    </row>
    <row r="51" spans="1:5" ht="13.5" customHeight="1">
      <c r="A51" s="388" t="s">
        <v>363</v>
      </c>
      <c r="B51" s="309">
        <v>0</v>
      </c>
      <c r="C51" s="309">
        <v>-1523</v>
      </c>
      <c r="D51" s="309">
        <f>SUM('- 57 -'!F51,'- 59-'!F51,B51:C51)</f>
        <v>198360</v>
      </c>
      <c r="E51"/>
    </row>
    <row r="52" spans="1:5" ht="13.5" customHeight="1">
      <c r="A52" s="387" t="s">
        <v>364</v>
      </c>
      <c r="B52" s="308">
        <v>0</v>
      </c>
      <c r="C52" s="308">
        <v>728</v>
      </c>
      <c r="D52" s="308">
        <f>SUM('- 57 -'!F52,'- 59-'!F52,B52:C52)</f>
        <v>455231</v>
      </c>
      <c r="E52"/>
    </row>
    <row r="53" spans="1:5" ht="49.5" customHeight="1">
      <c r="A53" s="324"/>
      <c r="B53" s="315"/>
      <c r="C53" s="315"/>
      <c r="D53" s="315"/>
      <c r="E53" s="352"/>
    </row>
    <row r="54" spans="1:5" ht="15" customHeight="1">
      <c r="A54" s="484" t="s">
        <v>9</v>
      </c>
      <c r="B54" s="99"/>
      <c r="C54" s="99"/>
      <c r="D54" s="99"/>
      <c r="E54"/>
    </row>
    <row r="55" spans="1:5" ht="13.5" customHeight="1">
      <c r="A55" s="479" t="s">
        <v>10</v>
      </c>
      <c r="B55" s="99"/>
      <c r="C55" s="99"/>
      <c r="D55" s="99"/>
      <c r="E55"/>
    </row>
    <row r="56" spans="1:5" ht="13.5" customHeight="1">
      <c r="A56" s="477" t="s">
        <v>11</v>
      </c>
      <c r="B56" s="99"/>
      <c r="C56" s="99"/>
      <c r="D56" s="99"/>
      <c r="E56"/>
    </row>
    <row r="57" spans="1:5" ht="13.5" customHeight="1">
      <c r="A57" s="479"/>
      <c r="B57" s="99"/>
      <c r="C57" s="99"/>
      <c r="D57" s="99"/>
      <c r="E57"/>
    </row>
    <row r="58" spans="2:5" ht="13.5" customHeight="1">
      <c r="B58" s="99"/>
      <c r="C58" s="99"/>
      <c r="D58" s="99"/>
      <c r="E58"/>
    </row>
    <row r="59" spans="1:5" ht="13.5" customHeight="1">
      <c r="A59" s="479"/>
      <c r="E59"/>
    </row>
    <row r="60" ht="13.5" customHeight="1">
      <c r="E60"/>
    </row>
    <row r="61" ht="12.75">
      <c r="E61"/>
    </row>
    <row r="63" ht="12.75">
      <c r="B63" s="302"/>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52.xml><?xml version="1.0" encoding="utf-8"?>
<worksheet xmlns="http://schemas.openxmlformats.org/spreadsheetml/2006/main" xmlns:r="http://schemas.openxmlformats.org/officeDocument/2006/relationships">
  <sheetPr codeName="Sheet61">
    <pageSetUpPr fitToPage="1"/>
  </sheetPr>
  <dimension ref="A1:E61"/>
  <sheetViews>
    <sheetView showGridLines="0" showZeros="0" workbookViewId="0" topLeftCell="A1">
      <selection activeCell="A1" sqref="A1"/>
    </sheetView>
  </sheetViews>
  <sheetFormatPr defaultColWidth="19.83203125" defaultRowHeight="12"/>
  <cols>
    <col min="1" max="1" width="39.83203125" style="67" customWidth="1"/>
    <col min="2" max="3" width="24.83203125" style="67" customWidth="1"/>
    <col min="4" max="5" width="22.83203125" style="67" customWidth="1"/>
    <col min="6" max="16384" width="19.83203125" style="67" customWidth="1"/>
  </cols>
  <sheetData>
    <row r="1" spans="1:3" ht="6.75" customHeight="1">
      <c r="A1" s="65"/>
      <c r="B1" s="116"/>
      <c r="C1" s="116"/>
    </row>
    <row r="2" spans="1:5" ht="15.75" customHeight="1">
      <c r="A2" s="360" t="s">
        <v>501</v>
      </c>
      <c r="B2" s="164"/>
      <c r="C2" s="164"/>
      <c r="D2" s="164"/>
      <c r="E2" s="164"/>
    </row>
    <row r="3" spans="1:5" ht="15.75" customHeight="1">
      <c r="A3" s="473" t="s">
        <v>418</v>
      </c>
      <c r="B3" s="230"/>
      <c r="C3" s="167"/>
      <c r="D3" s="167"/>
      <c r="E3" s="167"/>
    </row>
    <row r="4" spans="2:3" ht="15.75" customHeight="1">
      <c r="B4" s="253"/>
      <c r="C4" s="116"/>
    </row>
    <row r="5" spans="2:3" ht="15.75" customHeight="1">
      <c r="B5" s="327"/>
      <c r="C5" s="116"/>
    </row>
    <row r="6" spans="2:3" ht="15.75" customHeight="1">
      <c r="B6" s="298"/>
      <c r="C6" s="298"/>
    </row>
    <row r="7" spans="2:3" ht="15.75" customHeight="1">
      <c r="B7" s="299" t="s">
        <v>146</v>
      </c>
      <c r="C7" s="299" t="s">
        <v>246</v>
      </c>
    </row>
    <row r="8" spans="1:3" ht="15.75" customHeight="1">
      <c r="A8" s="313"/>
      <c r="B8" s="433" t="s">
        <v>242</v>
      </c>
      <c r="C8" s="299" t="s">
        <v>245</v>
      </c>
    </row>
    <row r="9" spans="1:3" ht="15.75" customHeight="1">
      <c r="A9" s="314" t="s">
        <v>112</v>
      </c>
      <c r="B9" s="434" t="s">
        <v>502</v>
      </c>
      <c r="C9" s="300" t="s">
        <v>503</v>
      </c>
    </row>
    <row r="10" spans="1:3" ht="4.5" customHeight="1">
      <c r="A10" s="62"/>
      <c r="C10" s="295"/>
    </row>
    <row r="11" spans="1:3" ht="13.5" customHeight="1">
      <c r="A11" s="387" t="s">
        <v>327</v>
      </c>
      <c r="B11" s="308">
        <f>'- 4 -'!E11</f>
        <v>6882</v>
      </c>
      <c r="C11" s="404">
        <f>'- 9 -'!C10</f>
        <v>15.24619432437512</v>
      </c>
    </row>
    <row r="12" spans="1:3" ht="13.5" customHeight="1">
      <c r="A12" s="388" t="s">
        <v>328</v>
      </c>
      <c r="B12" s="309">
        <f>'- 4 -'!E12</f>
        <v>7610</v>
      </c>
      <c r="C12" s="405">
        <f>'- 9 -'!C11</f>
        <v>13.49199058391227</v>
      </c>
    </row>
    <row r="13" spans="1:3" ht="13.5" customHeight="1">
      <c r="A13" s="387" t="s">
        <v>329</v>
      </c>
      <c r="B13" s="308">
        <f>'- 4 -'!E13</f>
        <v>6372</v>
      </c>
      <c r="C13" s="404">
        <f>'- 9 -'!C12</f>
        <v>15.189952511872033</v>
      </c>
    </row>
    <row r="14" spans="1:3" ht="13.5" customHeight="1">
      <c r="A14" s="388" t="s">
        <v>366</v>
      </c>
      <c r="B14" s="309">
        <f>'- 4 -'!E14</f>
        <v>9191</v>
      </c>
      <c r="C14" s="405">
        <f>'- 9 -'!C13</f>
        <v>12.383736072927219</v>
      </c>
    </row>
    <row r="15" spans="1:3" ht="13.5" customHeight="1">
      <c r="A15" s="387" t="s">
        <v>330</v>
      </c>
      <c r="B15" s="308">
        <f>'- 4 -'!E15</f>
        <v>7289</v>
      </c>
      <c r="C15" s="404">
        <f>'- 9 -'!C14</f>
        <v>16.10469003725284</v>
      </c>
    </row>
    <row r="16" spans="1:3" ht="13.5" customHeight="1">
      <c r="A16" s="388" t="s">
        <v>331</v>
      </c>
      <c r="B16" s="309">
        <f>'- 4 -'!E16</f>
        <v>7649</v>
      </c>
      <c r="C16" s="405">
        <f>'- 9 -'!C15</f>
        <v>14.640207792207791</v>
      </c>
    </row>
    <row r="17" spans="1:3" ht="13.5" customHeight="1">
      <c r="A17" s="387" t="s">
        <v>332</v>
      </c>
      <c r="B17" s="308">
        <f>'- 4 -'!E17</f>
        <v>7803</v>
      </c>
      <c r="C17" s="404">
        <f>'- 9 -'!C16</f>
        <v>13.548520659018374</v>
      </c>
    </row>
    <row r="18" spans="1:3" ht="13.5" customHeight="1">
      <c r="A18" s="388" t="s">
        <v>333</v>
      </c>
      <c r="B18" s="309">
        <f>'- 4 -'!E18</f>
        <v>11878</v>
      </c>
      <c r="C18" s="405">
        <f>'- 9 -'!C17</f>
        <v>12.75492642629722</v>
      </c>
    </row>
    <row r="19" spans="1:3" ht="13.5" customHeight="1">
      <c r="A19" s="387" t="s">
        <v>334</v>
      </c>
      <c r="B19" s="308">
        <f>'- 4 -'!E19</f>
        <v>6040</v>
      </c>
      <c r="C19" s="404">
        <f>'- 9 -'!C18</f>
        <v>15.824954049086386</v>
      </c>
    </row>
    <row r="20" spans="1:3" ht="13.5" customHeight="1">
      <c r="A20" s="388" t="s">
        <v>335</v>
      </c>
      <c r="B20" s="309">
        <f>'- 4 -'!E20</f>
        <v>5444</v>
      </c>
      <c r="C20" s="405">
        <f>'- 9 -'!C19</f>
        <v>17.891383140418565</v>
      </c>
    </row>
    <row r="21" spans="1:3" ht="13.5" customHeight="1">
      <c r="A21" s="387" t="s">
        <v>336</v>
      </c>
      <c r="B21" s="308">
        <f>'- 4 -'!E21</f>
        <v>7004</v>
      </c>
      <c r="C21" s="404">
        <f>'- 9 -'!C20</f>
        <v>14.980083288068078</v>
      </c>
    </row>
    <row r="22" spans="1:3" ht="13.5" customHeight="1">
      <c r="A22" s="388" t="s">
        <v>337</v>
      </c>
      <c r="B22" s="309">
        <f>'- 4 -'!E22</f>
        <v>7309</v>
      </c>
      <c r="C22" s="405">
        <f>'- 9 -'!C21</f>
        <v>14.820661229501008</v>
      </c>
    </row>
    <row r="23" spans="1:3" ht="13.5" customHeight="1">
      <c r="A23" s="387" t="s">
        <v>338</v>
      </c>
      <c r="B23" s="308">
        <f>'- 4 -'!E23</f>
        <v>7665</v>
      </c>
      <c r="C23" s="404">
        <f>'- 9 -'!C22</f>
        <v>14.482940741523185</v>
      </c>
    </row>
    <row r="24" spans="1:3" ht="13.5" customHeight="1">
      <c r="A24" s="388" t="s">
        <v>339</v>
      </c>
      <c r="B24" s="309">
        <f>'- 4 -'!E24</f>
        <v>7106</v>
      </c>
      <c r="C24" s="405">
        <f>'- 9 -'!C23</f>
        <v>14.876451612903224</v>
      </c>
    </row>
    <row r="25" spans="1:3" ht="13.5" customHeight="1">
      <c r="A25" s="387" t="s">
        <v>340</v>
      </c>
      <c r="B25" s="308">
        <f>'- 4 -'!E25</f>
        <v>6917</v>
      </c>
      <c r="C25" s="404">
        <f>'- 9 -'!C24</f>
        <v>15.228179270562727</v>
      </c>
    </row>
    <row r="26" spans="1:3" ht="13.5" customHeight="1">
      <c r="A26" s="388" t="s">
        <v>341</v>
      </c>
      <c r="B26" s="309">
        <f>'- 4 -'!E26</f>
        <v>7671</v>
      </c>
      <c r="C26" s="405">
        <f>'- 9 -'!C25</f>
        <v>14.052308144046645</v>
      </c>
    </row>
    <row r="27" spans="1:3" ht="13.5" customHeight="1">
      <c r="A27" s="387" t="s">
        <v>342</v>
      </c>
      <c r="B27" s="308">
        <f>'- 4 -'!E27</f>
        <v>7740</v>
      </c>
      <c r="C27" s="404">
        <f>'- 9 -'!C26</f>
        <v>14.151136509019572</v>
      </c>
    </row>
    <row r="28" spans="1:3" ht="13.5" customHeight="1">
      <c r="A28" s="388" t="s">
        <v>343</v>
      </c>
      <c r="B28" s="309">
        <f>'- 4 -'!E28</f>
        <v>7505</v>
      </c>
      <c r="C28" s="405">
        <f>'- 9 -'!C27</f>
        <v>14.387851095282892</v>
      </c>
    </row>
    <row r="29" spans="1:3" ht="13.5" customHeight="1">
      <c r="A29" s="387" t="s">
        <v>344</v>
      </c>
      <c r="B29" s="308">
        <f>'- 4 -'!E29</f>
        <v>7453</v>
      </c>
      <c r="C29" s="404">
        <f>'- 9 -'!C28</f>
        <v>14.774116291417663</v>
      </c>
    </row>
    <row r="30" spans="1:3" ht="13.5" customHeight="1">
      <c r="A30" s="388" t="s">
        <v>345</v>
      </c>
      <c r="B30" s="309">
        <f>'- 4 -'!E30</f>
        <v>7508</v>
      </c>
      <c r="C30" s="405">
        <f>'- 9 -'!C29</f>
        <v>14.225820763087844</v>
      </c>
    </row>
    <row r="31" spans="1:3" ht="13.5" customHeight="1">
      <c r="A31" s="387" t="s">
        <v>346</v>
      </c>
      <c r="B31" s="308">
        <f>'- 4 -'!E31</f>
        <v>7185</v>
      </c>
      <c r="C31" s="404">
        <f>'- 9 -'!C30</f>
        <v>14.55642545092781</v>
      </c>
    </row>
    <row r="32" spans="1:3" ht="13.5" customHeight="1">
      <c r="A32" s="388" t="s">
        <v>347</v>
      </c>
      <c r="B32" s="309">
        <f>'- 4 -'!E32</f>
        <v>7616</v>
      </c>
      <c r="C32" s="405">
        <f>'- 9 -'!C31</f>
        <v>14.414524934061218</v>
      </c>
    </row>
    <row r="33" spans="1:3" ht="13.5" customHeight="1">
      <c r="A33" s="387" t="s">
        <v>348</v>
      </c>
      <c r="B33" s="308">
        <f>'- 4 -'!E33</f>
        <v>8690</v>
      </c>
      <c r="C33" s="404">
        <f>'- 9 -'!C32</f>
        <v>13.200084714353789</v>
      </c>
    </row>
    <row r="34" spans="1:3" ht="13.5" customHeight="1">
      <c r="A34" s="388" t="s">
        <v>349</v>
      </c>
      <c r="B34" s="309">
        <f>'- 4 -'!E34</f>
        <v>7339</v>
      </c>
      <c r="C34" s="405">
        <f>'- 9 -'!C33</f>
        <v>15.948089401586158</v>
      </c>
    </row>
    <row r="35" spans="1:3" ht="13.5" customHeight="1">
      <c r="A35" s="387" t="s">
        <v>350</v>
      </c>
      <c r="B35" s="308">
        <f>'- 4 -'!E35</f>
        <v>6795</v>
      </c>
      <c r="C35" s="404">
        <f>'- 9 -'!C34</f>
        <v>15.074578881020669</v>
      </c>
    </row>
    <row r="36" spans="1:3" ht="13.5" customHeight="1">
      <c r="A36" s="388" t="s">
        <v>351</v>
      </c>
      <c r="B36" s="309">
        <f>'- 4 -'!E36</f>
        <v>7432</v>
      </c>
      <c r="C36" s="405">
        <f>'- 9 -'!C35</f>
        <v>14.25790427602873</v>
      </c>
    </row>
    <row r="37" spans="1:3" ht="13.5" customHeight="1">
      <c r="A37" s="387" t="s">
        <v>352</v>
      </c>
      <c r="B37" s="308">
        <f>'- 4 -'!E37</f>
        <v>6837</v>
      </c>
      <c r="C37" s="404">
        <f>'- 9 -'!C36</f>
        <v>15.945372204924992</v>
      </c>
    </row>
    <row r="38" spans="1:3" ht="13.5" customHeight="1">
      <c r="A38" s="388" t="s">
        <v>353</v>
      </c>
      <c r="B38" s="309">
        <f>'- 4 -'!E38</f>
        <v>7146</v>
      </c>
      <c r="C38" s="405">
        <f>'- 9 -'!C37</f>
        <v>15.392325056433409</v>
      </c>
    </row>
    <row r="39" spans="1:3" ht="13.5" customHeight="1">
      <c r="A39" s="387" t="s">
        <v>354</v>
      </c>
      <c r="B39" s="308">
        <f>'- 4 -'!E39</f>
        <v>8088</v>
      </c>
      <c r="C39" s="404">
        <f>'- 9 -'!C38</f>
        <v>14.491708723864457</v>
      </c>
    </row>
    <row r="40" spans="1:3" ht="13.5" customHeight="1">
      <c r="A40" s="388" t="s">
        <v>355</v>
      </c>
      <c r="B40" s="309">
        <f>'- 4 -'!E40</f>
        <v>6753</v>
      </c>
      <c r="C40" s="405">
        <f>'- 9 -'!C39</f>
        <v>14.970123282499136</v>
      </c>
    </row>
    <row r="41" spans="1:3" ht="13.5" customHeight="1">
      <c r="A41" s="387" t="s">
        <v>356</v>
      </c>
      <c r="B41" s="308">
        <f>'- 4 -'!E41</f>
        <v>7392</v>
      </c>
      <c r="C41" s="404">
        <f>'- 9 -'!C40</f>
        <v>14.328436516264428</v>
      </c>
    </row>
    <row r="42" spans="1:3" ht="13.5" customHeight="1">
      <c r="A42" s="388" t="s">
        <v>357</v>
      </c>
      <c r="B42" s="309">
        <f>'- 4 -'!E42</f>
        <v>7691</v>
      </c>
      <c r="C42" s="405">
        <f>'- 9 -'!C41</f>
        <v>15.294452578493575</v>
      </c>
    </row>
    <row r="43" spans="1:3" ht="13.5" customHeight="1">
      <c r="A43" s="387" t="s">
        <v>358</v>
      </c>
      <c r="B43" s="308">
        <f>'- 4 -'!E43</f>
        <v>7310</v>
      </c>
      <c r="C43" s="404">
        <f>'- 9 -'!C42</f>
        <v>13.69047619047619</v>
      </c>
    </row>
    <row r="44" spans="1:3" ht="13.5" customHeight="1">
      <c r="A44" s="388" t="s">
        <v>359</v>
      </c>
      <c r="B44" s="309">
        <f>'- 4 -'!E44</f>
        <v>7988</v>
      </c>
      <c r="C44" s="405">
        <f>'- 9 -'!C43</f>
        <v>13.356723237597912</v>
      </c>
    </row>
    <row r="45" spans="1:3" ht="13.5" customHeight="1">
      <c r="A45" s="387" t="s">
        <v>360</v>
      </c>
      <c r="B45" s="308">
        <f>'- 4 -'!E45</f>
        <v>6599</v>
      </c>
      <c r="C45" s="404">
        <f>'- 9 -'!C44</f>
        <v>16.69338218456606</v>
      </c>
    </row>
    <row r="46" spans="1:3" ht="13.5" customHeight="1">
      <c r="A46" s="388" t="s">
        <v>361</v>
      </c>
      <c r="B46" s="309">
        <f>'- 4 -'!E46</f>
        <v>7961</v>
      </c>
      <c r="C46" s="405">
        <f>'- 9 -'!C45</f>
        <v>14.606049405531941</v>
      </c>
    </row>
    <row r="47" spans="1:3" ht="4.5" customHeight="1">
      <c r="A47"/>
      <c r="B47" s="328"/>
      <c r="C47" s="407"/>
    </row>
    <row r="48" spans="1:3" ht="13.5" customHeight="1">
      <c r="A48" s="383" t="s">
        <v>362</v>
      </c>
      <c r="B48" s="311">
        <f>'- 4 -'!E49</f>
        <v>7432</v>
      </c>
      <c r="C48" s="408">
        <f>'- 9 -'!C48</f>
        <v>14.770265318043217</v>
      </c>
    </row>
    <row r="49" spans="1:3" ht="4.5" customHeight="1">
      <c r="A49"/>
      <c r="B49" s="328"/>
      <c r="C49" s="407"/>
    </row>
    <row r="50" spans="1:3" ht="13.5" customHeight="1">
      <c r="A50" s="390" t="s">
        <v>363</v>
      </c>
      <c r="B50" s="309">
        <f>'- 4 -'!E51</f>
        <v>8254</v>
      </c>
      <c r="C50" s="405">
        <f>'- 9 -'!C50</f>
        <v>13.6</v>
      </c>
    </row>
    <row r="51" spans="1:3" ht="13.5" customHeight="1">
      <c r="A51" s="391" t="s">
        <v>364</v>
      </c>
      <c r="B51" s="308">
        <f>'- 4 -'!E52</f>
        <v>8731</v>
      </c>
      <c r="C51" s="404">
        <f>'- 9 -'!C51</f>
        <v>11.375</v>
      </c>
    </row>
    <row r="52" spans="1:5" ht="49.5" customHeight="1">
      <c r="A52" s="324"/>
      <c r="B52" s="352"/>
      <c r="C52" s="352"/>
      <c r="D52" s="352"/>
      <c r="E52" s="352"/>
    </row>
    <row r="53" spans="1:3" ht="15" customHeight="1">
      <c r="A53" s="99" t="s">
        <v>521</v>
      </c>
      <c r="B53" s="99"/>
      <c r="C53" s="99"/>
    </row>
    <row r="54" spans="1:3" ht="13.5" customHeight="1">
      <c r="A54" s="482" t="s">
        <v>522</v>
      </c>
      <c r="B54" s="99"/>
      <c r="C54" s="99"/>
    </row>
    <row r="55" spans="1:3" ht="13.5" customHeight="1">
      <c r="A55" s="99" t="s">
        <v>504</v>
      </c>
      <c r="B55" s="99"/>
      <c r="C55" s="99"/>
    </row>
    <row r="56" spans="1:3" ht="13.5" customHeight="1">
      <c r="A56" s="99" t="s">
        <v>505</v>
      </c>
      <c r="B56" s="99"/>
      <c r="C56" s="99"/>
    </row>
    <row r="57" spans="1:3" ht="13.5" customHeight="1">
      <c r="A57" s="99"/>
      <c r="B57" s="99"/>
      <c r="C57" s="99"/>
    </row>
    <row r="58" spans="1:3" ht="13.5" customHeight="1">
      <c r="A58" s="228"/>
      <c r="B58" s="99"/>
      <c r="C58" s="99"/>
    </row>
    <row r="59" ht="13.5" customHeight="1">
      <c r="A59" s="228"/>
    </row>
    <row r="60" ht="12.75">
      <c r="A60" s="228"/>
    </row>
    <row r="61" ht="12.75">
      <c r="A61" s="228"/>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8"/>
  <sheetViews>
    <sheetView showGridLines="0" showZeros="0" workbookViewId="0" topLeftCell="A1">
      <selection activeCell="A1" sqref="A1"/>
    </sheetView>
  </sheetViews>
  <sheetFormatPr defaultColWidth="16.83203125" defaultRowHeight="12"/>
  <cols>
    <col min="1" max="1" width="32.83203125" style="67" customWidth="1"/>
    <col min="2" max="4" width="18.83203125" style="67" customWidth="1"/>
    <col min="5" max="5" width="3.83203125" style="67" customWidth="1"/>
    <col min="6" max="6" width="18.83203125" style="67" customWidth="1"/>
    <col min="7" max="7" width="3.83203125" style="67" customWidth="1"/>
    <col min="8" max="8" width="18.83203125" style="67" customWidth="1"/>
    <col min="9" max="16384" width="16.83203125" style="67" customWidth="1"/>
  </cols>
  <sheetData>
    <row r="1" spans="1:8" ht="6.75" customHeight="1">
      <c r="A1" s="65"/>
      <c r="B1" s="116"/>
      <c r="C1" s="116"/>
      <c r="D1" s="116"/>
      <c r="E1" s="116"/>
      <c r="F1" s="116"/>
      <c r="G1" s="116"/>
      <c r="H1" s="116"/>
    </row>
    <row r="2" spans="1:8" ht="15.75" customHeight="1">
      <c r="A2" s="68"/>
      <c r="B2" s="524" t="s">
        <v>219</v>
      </c>
      <c r="C2" s="164"/>
      <c r="D2" s="164"/>
      <c r="E2" s="164"/>
      <c r="F2" s="164"/>
      <c r="G2" s="178"/>
      <c r="H2" s="178"/>
    </row>
    <row r="3" spans="1:8" ht="15.75" customHeight="1">
      <c r="A3" s="70"/>
      <c r="B3" s="473" t="s">
        <v>533</v>
      </c>
      <c r="C3" s="167"/>
      <c r="D3" s="167"/>
      <c r="E3" s="167"/>
      <c r="F3" s="167"/>
      <c r="G3" s="179"/>
      <c r="H3" s="179"/>
    </row>
    <row r="4" spans="2:8" ht="15.75" customHeight="1">
      <c r="B4" s="116"/>
      <c r="C4" s="116"/>
      <c r="D4" s="116"/>
      <c r="E4" s="116"/>
      <c r="F4" s="116"/>
      <c r="G4" s="116"/>
      <c r="H4" s="116"/>
    </row>
    <row r="5" spans="2:8" ht="15.75" customHeight="1">
      <c r="B5" s="116"/>
      <c r="C5" s="116"/>
      <c r="D5" s="116"/>
      <c r="E5" s="116"/>
      <c r="F5" s="116"/>
      <c r="G5" s="116"/>
      <c r="H5" s="116"/>
    </row>
    <row r="6" spans="2:8" ht="15.75" customHeight="1">
      <c r="B6" s="535" t="s">
        <v>535</v>
      </c>
      <c r="C6" s="536"/>
      <c r="D6" s="537"/>
      <c r="F6" s="523" t="s">
        <v>535</v>
      </c>
      <c r="H6" s="523" t="s">
        <v>534</v>
      </c>
    </row>
    <row r="7" spans="2:8" ht="15.75" customHeight="1">
      <c r="B7" s="54" t="s">
        <v>273</v>
      </c>
      <c r="C7" s="55"/>
      <c r="D7" s="56"/>
      <c r="E7" s="247"/>
      <c r="F7" s="150" t="s">
        <v>270</v>
      </c>
      <c r="G7" s="192"/>
      <c r="H7" s="248" t="s">
        <v>269</v>
      </c>
    </row>
    <row r="8" spans="1:8" ht="15.75" customHeight="1">
      <c r="A8" s="313"/>
      <c r="B8" s="317" t="s">
        <v>100</v>
      </c>
      <c r="C8" s="172" t="s">
        <v>101</v>
      </c>
      <c r="D8" s="171" t="s">
        <v>102</v>
      </c>
      <c r="E8" s="247"/>
      <c r="F8" s="249" t="s">
        <v>99</v>
      </c>
      <c r="G8" s="192"/>
      <c r="H8" s="249" t="s">
        <v>102</v>
      </c>
    </row>
    <row r="9" spans="1:8" ht="15.75" customHeight="1">
      <c r="A9" s="314" t="s">
        <v>112</v>
      </c>
      <c r="B9" s="61" t="s">
        <v>220</v>
      </c>
      <c r="C9" s="61" t="s">
        <v>220</v>
      </c>
      <c r="D9" s="61" t="s">
        <v>220</v>
      </c>
      <c r="E9" s="100"/>
      <c r="F9" s="60" t="s">
        <v>220</v>
      </c>
      <c r="H9" s="60" t="s">
        <v>220</v>
      </c>
    </row>
    <row r="10" ht="4.5" customHeight="1">
      <c r="A10" s="62"/>
    </row>
    <row r="11" spans="1:8" ht="13.5" customHeight="1">
      <c r="A11" s="387" t="s">
        <v>327</v>
      </c>
      <c r="B11" s="362">
        <v>1675</v>
      </c>
      <c r="C11" s="362">
        <v>0</v>
      </c>
      <c r="D11" s="362">
        <f aca="true" t="shared" si="0" ref="D11:D47">B11-C11</f>
        <v>1675</v>
      </c>
      <c r="F11" s="364">
        <f>'- 7 -'!F11</f>
        <v>1622.5</v>
      </c>
      <c r="G11" s="250"/>
      <c r="H11" s="364">
        <v>1647.1</v>
      </c>
    </row>
    <row r="12" spans="1:8" ht="13.5" customHeight="1">
      <c r="A12" s="388" t="s">
        <v>328</v>
      </c>
      <c r="B12" s="361">
        <v>2460</v>
      </c>
      <c r="C12" s="361">
        <v>0</v>
      </c>
      <c r="D12" s="361">
        <f t="shared" si="0"/>
        <v>2460</v>
      </c>
      <c r="F12" s="365">
        <f>'- 7 -'!F12</f>
        <v>2349.9</v>
      </c>
      <c r="G12" s="250"/>
      <c r="H12" s="365">
        <v>2325.5</v>
      </c>
    </row>
    <row r="13" spans="1:8" ht="13.5" customHeight="1">
      <c r="A13" s="387" t="s">
        <v>329</v>
      </c>
      <c r="B13" s="362">
        <v>7528</v>
      </c>
      <c r="C13" s="362">
        <v>0</v>
      </c>
      <c r="D13" s="362">
        <f t="shared" si="0"/>
        <v>7528</v>
      </c>
      <c r="F13" s="364">
        <f>'- 7 -'!F13</f>
        <v>7293</v>
      </c>
      <c r="G13" s="250"/>
      <c r="H13" s="364">
        <v>7304.5</v>
      </c>
    </row>
    <row r="14" spans="1:8" ht="13.5" customHeight="1">
      <c r="A14" s="388" t="s">
        <v>366</v>
      </c>
      <c r="B14" s="361">
        <v>4457</v>
      </c>
      <c r="C14" s="361">
        <v>0</v>
      </c>
      <c r="D14" s="361">
        <f t="shared" si="0"/>
        <v>4457</v>
      </c>
      <c r="F14" s="365">
        <f>'- 7 -'!F14</f>
        <v>4279.2</v>
      </c>
      <c r="G14" s="250"/>
      <c r="H14" s="365">
        <v>4256.7</v>
      </c>
    </row>
    <row r="15" spans="1:8" ht="13.5" customHeight="1">
      <c r="A15" s="387" t="s">
        <v>330</v>
      </c>
      <c r="B15" s="362">
        <v>1744</v>
      </c>
      <c r="C15" s="362">
        <v>0</v>
      </c>
      <c r="D15" s="362">
        <f t="shared" si="0"/>
        <v>1744</v>
      </c>
      <c r="F15" s="364">
        <f>'- 7 -'!F15</f>
        <v>1686</v>
      </c>
      <c r="G15" s="250"/>
      <c r="H15" s="364">
        <v>1634.4</v>
      </c>
    </row>
    <row r="16" spans="1:8" ht="13.5" customHeight="1">
      <c r="A16" s="388" t="s">
        <v>331</v>
      </c>
      <c r="B16" s="361">
        <v>1464</v>
      </c>
      <c r="C16" s="361">
        <v>0</v>
      </c>
      <c r="D16" s="361">
        <f t="shared" si="0"/>
        <v>1464</v>
      </c>
      <c r="F16" s="365">
        <f>'- 7 -'!F16</f>
        <v>1409.12</v>
      </c>
      <c r="G16" s="250"/>
      <c r="H16" s="365">
        <v>1281.1</v>
      </c>
    </row>
    <row r="17" spans="1:8" ht="13.5" customHeight="1">
      <c r="A17" s="387" t="s">
        <v>332</v>
      </c>
      <c r="B17" s="362">
        <v>1624</v>
      </c>
      <c r="C17" s="362">
        <v>0</v>
      </c>
      <c r="D17" s="362">
        <f t="shared" si="0"/>
        <v>1624</v>
      </c>
      <c r="F17" s="364">
        <f>'- 7 -'!F17</f>
        <v>1570.68</v>
      </c>
      <c r="G17" s="250"/>
      <c r="H17" s="364">
        <v>1558.9</v>
      </c>
    </row>
    <row r="18" spans="1:8" ht="13.5" customHeight="1">
      <c r="A18" s="388" t="s">
        <v>333</v>
      </c>
      <c r="B18" s="361">
        <v>6570</v>
      </c>
      <c r="C18" s="361">
        <v>405</v>
      </c>
      <c r="D18" s="361">
        <f t="shared" si="0"/>
        <v>6165</v>
      </c>
      <c r="F18" s="365">
        <f>'- 7 -'!F18</f>
        <v>5929</v>
      </c>
      <c r="G18" s="250"/>
      <c r="H18" s="365">
        <v>3371.4</v>
      </c>
    </row>
    <row r="19" spans="1:8" ht="13.5" customHeight="1">
      <c r="A19" s="387" t="s">
        <v>334</v>
      </c>
      <c r="B19" s="362">
        <v>3054</v>
      </c>
      <c r="C19" s="362">
        <v>0</v>
      </c>
      <c r="D19" s="362">
        <f t="shared" si="0"/>
        <v>3054</v>
      </c>
      <c r="F19" s="364">
        <f>'- 7 -'!F19</f>
        <v>2927.2999999999997</v>
      </c>
      <c r="G19" s="250"/>
      <c r="H19" s="364">
        <v>2834.9</v>
      </c>
    </row>
    <row r="20" spans="1:8" ht="13.5" customHeight="1">
      <c r="A20" s="388" t="s">
        <v>335</v>
      </c>
      <c r="B20" s="361">
        <v>6361</v>
      </c>
      <c r="C20" s="361">
        <v>0</v>
      </c>
      <c r="D20" s="361">
        <f t="shared" si="0"/>
        <v>6361</v>
      </c>
      <c r="F20" s="365">
        <f>'- 7 -'!F20</f>
        <v>6121</v>
      </c>
      <c r="G20" s="250"/>
      <c r="H20" s="365">
        <v>5979.7</v>
      </c>
    </row>
    <row r="21" spans="1:8" ht="13.5" customHeight="1">
      <c r="A21" s="387" t="s">
        <v>336</v>
      </c>
      <c r="B21" s="362">
        <v>3438</v>
      </c>
      <c r="C21" s="362">
        <v>0</v>
      </c>
      <c r="D21" s="362">
        <f t="shared" si="0"/>
        <v>3438</v>
      </c>
      <c r="F21" s="364">
        <f>'- 7 -'!F21</f>
        <v>3309.4</v>
      </c>
      <c r="G21" s="250"/>
      <c r="H21" s="364">
        <v>3417.1</v>
      </c>
    </row>
    <row r="22" spans="1:8" ht="13.5" customHeight="1">
      <c r="A22" s="388" t="s">
        <v>337</v>
      </c>
      <c r="B22" s="361">
        <v>1758</v>
      </c>
      <c r="C22" s="361">
        <v>0</v>
      </c>
      <c r="D22" s="361">
        <f t="shared" si="0"/>
        <v>1758</v>
      </c>
      <c r="F22" s="365">
        <f>'- 7 -'!F22</f>
        <v>1690</v>
      </c>
      <c r="G22" s="250"/>
      <c r="H22" s="365">
        <v>1695.1</v>
      </c>
    </row>
    <row r="23" spans="1:8" ht="13.5" customHeight="1">
      <c r="A23" s="387" t="s">
        <v>338</v>
      </c>
      <c r="B23" s="362">
        <v>1473</v>
      </c>
      <c r="C23" s="362">
        <v>0</v>
      </c>
      <c r="D23" s="362">
        <f t="shared" si="0"/>
        <v>1473</v>
      </c>
      <c r="F23" s="364">
        <f>'- 7 -'!F23</f>
        <v>1371.1</v>
      </c>
      <c r="G23" s="250"/>
      <c r="H23" s="364">
        <v>1381.5</v>
      </c>
    </row>
    <row r="24" spans="1:8" ht="13.5" customHeight="1">
      <c r="A24" s="388" t="s">
        <v>339</v>
      </c>
      <c r="B24" s="361">
        <v>4782</v>
      </c>
      <c r="C24" s="361">
        <v>0</v>
      </c>
      <c r="D24" s="361">
        <f t="shared" si="0"/>
        <v>4782</v>
      </c>
      <c r="F24" s="365">
        <f>'- 7 -'!F24</f>
        <v>4611.7</v>
      </c>
      <c r="G24" s="250"/>
      <c r="H24" s="365">
        <v>4664.9</v>
      </c>
    </row>
    <row r="25" spans="1:8" ht="13.5" customHeight="1">
      <c r="A25" s="387" t="s">
        <v>340</v>
      </c>
      <c r="B25" s="362">
        <v>15517</v>
      </c>
      <c r="C25" s="362">
        <v>0</v>
      </c>
      <c r="D25" s="362">
        <f t="shared" si="0"/>
        <v>15517</v>
      </c>
      <c r="F25" s="364">
        <f>'- 7 -'!F25</f>
        <v>14889.2</v>
      </c>
      <c r="G25" s="250"/>
      <c r="H25" s="364">
        <v>14848</v>
      </c>
    </row>
    <row r="26" spans="1:8" ht="13.5" customHeight="1">
      <c r="A26" s="388" t="s">
        <v>341</v>
      </c>
      <c r="B26" s="361">
        <v>3449</v>
      </c>
      <c r="C26" s="361">
        <v>0</v>
      </c>
      <c r="D26" s="361">
        <f t="shared" si="0"/>
        <v>3449</v>
      </c>
      <c r="F26" s="365">
        <f>'- 7 -'!F26</f>
        <v>3350</v>
      </c>
      <c r="G26" s="250"/>
      <c r="H26" s="365">
        <v>3284</v>
      </c>
    </row>
    <row r="27" spans="1:8" ht="13.5" customHeight="1">
      <c r="A27" s="387" t="s">
        <v>342</v>
      </c>
      <c r="B27" s="362">
        <v>3437</v>
      </c>
      <c r="C27" s="362">
        <v>0</v>
      </c>
      <c r="D27" s="362">
        <f t="shared" si="0"/>
        <v>3437</v>
      </c>
      <c r="F27" s="364">
        <f>'- 7 -'!F27</f>
        <v>3318.2999999999997</v>
      </c>
      <c r="G27" s="250"/>
      <c r="H27" s="364">
        <v>3259.6</v>
      </c>
    </row>
    <row r="28" spans="1:8" ht="13.5" customHeight="1">
      <c r="A28" s="388" t="s">
        <v>343</v>
      </c>
      <c r="B28" s="361">
        <v>2203</v>
      </c>
      <c r="C28" s="361">
        <v>0</v>
      </c>
      <c r="D28" s="361">
        <f t="shared" si="0"/>
        <v>2203</v>
      </c>
      <c r="F28" s="365">
        <f>'- 7 -'!F28</f>
        <v>2141.2</v>
      </c>
      <c r="G28" s="250"/>
      <c r="H28" s="365">
        <v>1999.5</v>
      </c>
    </row>
    <row r="29" spans="1:8" ht="13.5" customHeight="1">
      <c r="A29" s="387" t="s">
        <v>344</v>
      </c>
      <c r="B29" s="362">
        <v>14363</v>
      </c>
      <c r="C29" s="362">
        <v>0</v>
      </c>
      <c r="D29" s="362">
        <f t="shared" si="0"/>
        <v>14363</v>
      </c>
      <c r="F29" s="364">
        <f>'- 7 -'!F29</f>
        <v>13077.9</v>
      </c>
      <c r="G29" s="250"/>
      <c r="H29" s="364">
        <v>13583.7</v>
      </c>
    </row>
    <row r="30" spans="1:8" ht="13.5" customHeight="1">
      <c r="A30" s="388" t="s">
        <v>345</v>
      </c>
      <c r="B30" s="361">
        <v>1331</v>
      </c>
      <c r="C30" s="361">
        <v>0</v>
      </c>
      <c r="D30" s="361">
        <f t="shared" si="0"/>
        <v>1331</v>
      </c>
      <c r="F30" s="365">
        <f>'- 7 -'!F30</f>
        <v>1282.6</v>
      </c>
      <c r="G30" s="250"/>
      <c r="H30" s="365">
        <v>1300.2</v>
      </c>
    </row>
    <row r="31" spans="1:8" ht="13.5" customHeight="1">
      <c r="A31" s="387" t="s">
        <v>346</v>
      </c>
      <c r="B31" s="362">
        <v>3528</v>
      </c>
      <c r="C31" s="362">
        <v>0</v>
      </c>
      <c r="D31" s="362">
        <f t="shared" si="0"/>
        <v>3528</v>
      </c>
      <c r="F31" s="364">
        <f>'- 7 -'!F31</f>
        <v>3365.3</v>
      </c>
      <c r="G31" s="250"/>
      <c r="H31" s="364">
        <v>3407.6</v>
      </c>
    </row>
    <row r="32" spans="1:8" ht="13.5" customHeight="1">
      <c r="A32" s="388" t="s">
        <v>347</v>
      </c>
      <c r="B32" s="361">
        <v>2454</v>
      </c>
      <c r="C32" s="361">
        <v>0</v>
      </c>
      <c r="D32" s="361">
        <f t="shared" si="0"/>
        <v>2454</v>
      </c>
      <c r="F32" s="365">
        <f>'- 7 -'!F32</f>
        <v>2350</v>
      </c>
      <c r="G32" s="250"/>
      <c r="H32" s="365">
        <v>2408.5</v>
      </c>
    </row>
    <row r="33" spans="1:8" ht="13.5" customHeight="1">
      <c r="A33" s="387" t="s">
        <v>348</v>
      </c>
      <c r="B33" s="362">
        <v>2640</v>
      </c>
      <c r="C33" s="362">
        <v>0</v>
      </c>
      <c r="D33" s="362">
        <f t="shared" si="0"/>
        <v>2640</v>
      </c>
      <c r="F33" s="364">
        <f>'- 7 -'!F33</f>
        <v>2493.1</v>
      </c>
      <c r="G33" s="250"/>
      <c r="H33" s="364">
        <v>2603.6</v>
      </c>
    </row>
    <row r="34" spans="1:8" ht="13.5" customHeight="1">
      <c r="A34" s="388" t="s">
        <v>349</v>
      </c>
      <c r="B34" s="361">
        <v>2286</v>
      </c>
      <c r="C34" s="361">
        <v>0</v>
      </c>
      <c r="D34" s="361">
        <f t="shared" si="0"/>
        <v>2286</v>
      </c>
      <c r="F34" s="365">
        <f>'- 7 -'!F34</f>
        <v>2212</v>
      </c>
      <c r="G34" s="250"/>
      <c r="H34" s="365">
        <v>2227.1</v>
      </c>
    </row>
    <row r="35" spans="1:8" ht="13.5" customHeight="1">
      <c r="A35" s="387" t="s">
        <v>350</v>
      </c>
      <c r="B35" s="362">
        <v>18423</v>
      </c>
      <c r="C35" s="362">
        <v>0</v>
      </c>
      <c r="D35" s="362">
        <f t="shared" si="0"/>
        <v>18423</v>
      </c>
      <c r="F35" s="364">
        <f>'- 7 -'!F35</f>
        <v>17817.7</v>
      </c>
      <c r="G35" s="250"/>
      <c r="H35" s="364">
        <v>17828.8</v>
      </c>
    </row>
    <row r="36" spans="1:8" ht="13.5" customHeight="1">
      <c r="A36" s="388" t="s">
        <v>351</v>
      </c>
      <c r="B36" s="361">
        <v>2195</v>
      </c>
      <c r="C36" s="361">
        <v>0</v>
      </c>
      <c r="D36" s="361">
        <f t="shared" si="0"/>
        <v>2195</v>
      </c>
      <c r="F36" s="365">
        <f>'- 7 -'!F36</f>
        <v>2124</v>
      </c>
      <c r="G36" s="250"/>
      <c r="H36" s="365">
        <v>2035.6</v>
      </c>
    </row>
    <row r="37" spans="1:8" ht="13.5" customHeight="1">
      <c r="A37" s="387" t="s">
        <v>352</v>
      </c>
      <c r="B37" s="362">
        <v>3510</v>
      </c>
      <c r="C37" s="362">
        <v>0</v>
      </c>
      <c r="D37" s="362">
        <f t="shared" si="0"/>
        <v>3510</v>
      </c>
      <c r="F37" s="364">
        <f>'- 7 -'!F37</f>
        <v>3380.1</v>
      </c>
      <c r="G37" s="250"/>
      <c r="H37" s="364">
        <v>3492.7</v>
      </c>
    </row>
    <row r="38" spans="1:8" ht="13.5" customHeight="1">
      <c r="A38" s="388" t="s">
        <v>353</v>
      </c>
      <c r="B38" s="361">
        <v>8847</v>
      </c>
      <c r="C38" s="361">
        <v>0</v>
      </c>
      <c r="D38" s="361">
        <f t="shared" si="0"/>
        <v>8847</v>
      </c>
      <c r="F38" s="365">
        <f>'- 7 -'!F38</f>
        <v>8523.5</v>
      </c>
      <c r="G38" s="250"/>
      <c r="H38" s="365">
        <v>8506.9</v>
      </c>
    </row>
    <row r="39" spans="1:8" ht="13.5" customHeight="1">
      <c r="A39" s="387" t="s">
        <v>354</v>
      </c>
      <c r="B39" s="362">
        <v>1879</v>
      </c>
      <c r="C39" s="362">
        <v>0</v>
      </c>
      <c r="D39" s="362">
        <f t="shared" si="0"/>
        <v>1879</v>
      </c>
      <c r="F39" s="364">
        <f>'- 7 -'!F39</f>
        <v>1809</v>
      </c>
      <c r="G39" s="250"/>
      <c r="H39" s="364">
        <v>1833.6</v>
      </c>
    </row>
    <row r="40" spans="1:8" ht="13.5" customHeight="1">
      <c r="A40" s="388" t="s">
        <v>355</v>
      </c>
      <c r="B40" s="361">
        <v>9507</v>
      </c>
      <c r="C40" s="361">
        <v>0</v>
      </c>
      <c r="D40" s="361">
        <f t="shared" si="0"/>
        <v>9507</v>
      </c>
      <c r="F40" s="365">
        <f>'- 7 -'!F40</f>
        <v>9119.349999999999</v>
      </c>
      <c r="G40" s="250"/>
      <c r="H40" s="365">
        <v>9083.2</v>
      </c>
    </row>
    <row r="41" spans="1:8" ht="13.5" customHeight="1">
      <c r="A41" s="387" t="s">
        <v>356</v>
      </c>
      <c r="B41" s="362">
        <v>5094</v>
      </c>
      <c r="C41" s="362">
        <v>0</v>
      </c>
      <c r="D41" s="362">
        <f t="shared" si="0"/>
        <v>5094</v>
      </c>
      <c r="F41" s="364">
        <f>'- 7 -'!F41</f>
        <v>4915.8</v>
      </c>
      <c r="G41" s="250"/>
      <c r="H41" s="364">
        <v>4925.1</v>
      </c>
    </row>
    <row r="42" spans="1:8" ht="13.5" customHeight="1">
      <c r="A42" s="388" t="s">
        <v>357</v>
      </c>
      <c r="B42" s="361">
        <v>1940</v>
      </c>
      <c r="C42" s="361">
        <v>0</v>
      </c>
      <c r="D42" s="361">
        <f t="shared" si="0"/>
        <v>1940</v>
      </c>
      <c r="F42" s="365">
        <f>'- 7 -'!F42</f>
        <v>1880.3</v>
      </c>
      <c r="G42" s="250"/>
      <c r="H42" s="365">
        <v>1842.2</v>
      </c>
    </row>
    <row r="43" spans="1:8" ht="13.5" customHeight="1">
      <c r="A43" s="387" t="s">
        <v>358</v>
      </c>
      <c r="B43" s="362">
        <v>1259</v>
      </c>
      <c r="C43" s="362">
        <v>0</v>
      </c>
      <c r="D43" s="362">
        <f t="shared" si="0"/>
        <v>1259</v>
      </c>
      <c r="F43" s="364">
        <f>'- 7 -'!F43</f>
        <v>1219</v>
      </c>
      <c r="G43" s="250"/>
      <c r="H43" s="364">
        <v>1240.7</v>
      </c>
    </row>
    <row r="44" spans="1:8" ht="13.5" customHeight="1">
      <c r="A44" s="388" t="s">
        <v>359</v>
      </c>
      <c r="B44" s="361">
        <v>851</v>
      </c>
      <c r="C44" s="361">
        <v>0</v>
      </c>
      <c r="D44" s="361">
        <f t="shared" si="0"/>
        <v>851</v>
      </c>
      <c r="F44" s="365">
        <f>'- 7 -'!F44</f>
        <v>818.5</v>
      </c>
      <c r="G44" s="250"/>
      <c r="H44" s="365">
        <v>823.5</v>
      </c>
    </row>
    <row r="45" spans="1:8" ht="13.5" customHeight="1">
      <c r="A45" s="387" t="s">
        <v>360</v>
      </c>
      <c r="B45" s="362">
        <v>1507</v>
      </c>
      <c r="C45" s="362">
        <v>0</v>
      </c>
      <c r="D45" s="362">
        <f t="shared" si="0"/>
        <v>1507</v>
      </c>
      <c r="F45" s="364">
        <f>'- 7 -'!F45</f>
        <v>1458</v>
      </c>
      <c r="G45" s="250"/>
      <c r="H45" s="364">
        <v>1443.5</v>
      </c>
    </row>
    <row r="46" spans="1:8" ht="13.5" customHeight="1">
      <c r="A46" s="388" t="s">
        <v>361</v>
      </c>
      <c r="B46" s="361">
        <v>34173</v>
      </c>
      <c r="C46" s="361">
        <v>1920</v>
      </c>
      <c r="D46" s="361">
        <f t="shared" si="0"/>
        <v>32253</v>
      </c>
      <c r="F46" s="365">
        <f>'- 7 -'!F46</f>
        <v>30823</v>
      </c>
      <c r="G46" s="250"/>
      <c r="H46" s="365">
        <v>30416.1</v>
      </c>
    </row>
    <row r="47" spans="1:8" ht="13.5" customHeight="1">
      <c r="A47" s="387" t="s">
        <v>365</v>
      </c>
      <c r="B47" s="362">
        <v>0</v>
      </c>
      <c r="C47" s="362">
        <v>0</v>
      </c>
      <c r="D47" s="362">
        <f t="shared" si="0"/>
        <v>0</v>
      </c>
      <c r="F47" s="364">
        <f>'- 7 -'!F47</f>
        <v>616.78</v>
      </c>
      <c r="G47" s="250"/>
      <c r="H47" s="364">
        <v>0</v>
      </c>
    </row>
    <row r="48" spans="1:8" ht="4.5" customHeight="1">
      <c r="A48" s="389"/>
      <c r="B48" s="322"/>
      <c r="C48" s="322"/>
      <c r="D48" s="322"/>
      <c r="F48" s="366"/>
      <c r="H48" s="366"/>
    </row>
    <row r="49" spans="1:8" ht="13.5" customHeight="1">
      <c r="A49" s="383" t="s">
        <v>362</v>
      </c>
      <c r="B49" s="363">
        <f>SUM(B11:B47)</f>
        <v>188781</v>
      </c>
      <c r="C49" s="363">
        <f>SUM(C11:C47)</f>
        <v>2325</v>
      </c>
      <c r="D49" s="363">
        <f>SUM(D11:D47)</f>
        <v>186456</v>
      </c>
      <c r="E49" s="62"/>
      <c r="F49" s="367">
        <f>SUM(F11:F47)</f>
        <v>179154.52999999997</v>
      </c>
      <c r="G49" s="251"/>
      <c r="H49" s="367">
        <f>SUM(H11:H47)</f>
        <v>175746.50000000006</v>
      </c>
    </row>
    <row r="50" spans="1:8" ht="4.5" customHeight="1">
      <c r="A50" s="389" t="s">
        <v>15</v>
      </c>
      <c r="B50" s="322"/>
      <c r="C50" s="322"/>
      <c r="D50" s="322"/>
      <c r="F50" s="366"/>
      <c r="H50" s="366"/>
    </row>
    <row r="51" spans="1:8" ht="13.5" customHeight="1">
      <c r="A51" s="388" t="s">
        <v>363</v>
      </c>
      <c r="B51" s="361">
        <v>159</v>
      </c>
      <c r="C51" s="361">
        <v>0</v>
      </c>
      <c r="D51" s="361">
        <f>B51-C51</f>
        <v>159</v>
      </c>
      <c r="F51" s="365">
        <f>'- 7 -'!F51</f>
        <v>153</v>
      </c>
      <c r="G51" s="250"/>
      <c r="H51" s="365">
        <v>66.5</v>
      </c>
    </row>
    <row r="52" spans="1:8" ht="13.5" customHeight="1">
      <c r="A52" s="387" t="s">
        <v>364</v>
      </c>
      <c r="B52" s="362">
        <v>277</v>
      </c>
      <c r="C52" s="362">
        <v>0</v>
      </c>
      <c r="D52" s="362">
        <f>B52-C52</f>
        <v>277</v>
      </c>
      <c r="F52" s="364">
        <f>'- 7 -'!F52</f>
        <v>273</v>
      </c>
      <c r="G52" s="250"/>
      <c r="H52" s="364">
        <v>238.1</v>
      </c>
    </row>
    <row r="53" spans="1:8" ht="49.5" customHeight="1">
      <c r="A53" s="324"/>
      <c r="B53" s="324"/>
      <c r="C53" s="324"/>
      <c r="D53" s="324"/>
      <c r="E53" s="324"/>
      <c r="F53" s="324"/>
      <c r="G53" s="325"/>
      <c r="H53" s="325"/>
    </row>
    <row r="54" spans="1:8" ht="15" customHeight="1">
      <c r="A54" s="202" t="s">
        <v>427</v>
      </c>
      <c r="C54" s="105"/>
      <c r="D54" s="105"/>
      <c r="E54" s="105"/>
      <c r="F54" s="105"/>
      <c r="G54" s="105"/>
      <c r="H54" s="105"/>
    </row>
    <row r="55" spans="1:8" ht="14.25" customHeight="1">
      <c r="A55" s="202" t="s">
        <v>428</v>
      </c>
      <c r="C55" s="105"/>
      <c r="D55" s="105"/>
      <c r="E55" s="105"/>
      <c r="F55" s="105"/>
      <c r="G55" s="105"/>
      <c r="H55" s="105"/>
    </row>
    <row r="56" spans="1:8" ht="14.25" customHeight="1">
      <c r="A56" s="481" t="s">
        <v>430</v>
      </c>
      <c r="C56" s="105"/>
      <c r="D56" s="105"/>
      <c r="E56" s="105"/>
      <c r="F56" s="105"/>
      <c r="G56" s="105"/>
      <c r="H56" s="105"/>
    </row>
    <row r="57" spans="1:8" ht="14.25" customHeight="1">
      <c r="A57" s="202" t="s">
        <v>429</v>
      </c>
      <c r="C57" s="105"/>
      <c r="D57" s="105"/>
      <c r="E57" s="105"/>
      <c r="F57" s="105"/>
      <c r="G57" s="105"/>
      <c r="H57" s="252"/>
    </row>
    <row r="58" spans="2:8" ht="14.25" customHeight="1">
      <c r="B58" s="105"/>
      <c r="C58" s="105"/>
      <c r="D58" s="105"/>
      <c r="E58" s="105"/>
      <c r="F58" s="105"/>
      <c r="G58" s="105"/>
      <c r="H58" s="105"/>
    </row>
  </sheetData>
  <mergeCells count="1">
    <mergeCell ref="B6:D6"/>
  </mergeCells>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topLeftCell="A1">
      <selection activeCell="A1" sqref="A1"/>
    </sheetView>
  </sheetViews>
  <sheetFormatPr defaultColWidth="9.33203125" defaultRowHeight="12"/>
  <cols>
    <col min="1" max="1" width="39.83203125" style="67" customWidth="1"/>
    <col min="2" max="3" width="31.83203125" style="67" customWidth="1"/>
    <col min="4" max="4" width="30.83203125" style="67" customWidth="1"/>
    <col min="5" max="16384" width="9.33203125" style="67" customWidth="1"/>
  </cols>
  <sheetData>
    <row r="1" spans="1:4" ht="6.75" customHeight="1">
      <c r="A1" s="65"/>
      <c r="B1" s="116"/>
      <c r="C1" s="116"/>
      <c r="D1" s="116"/>
    </row>
    <row r="2" spans="1:4" ht="15.75" customHeight="1">
      <c r="A2" s="68"/>
      <c r="B2" s="360" t="s">
        <v>222</v>
      </c>
      <c r="C2" s="164"/>
      <c r="D2" s="246"/>
    </row>
    <row r="3" spans="1:4" ht="15.75" customHeight="1">
      <c r="A3" s="70"/>
      <c r="B3" s="456" t="str">
        <f>STATDATE</f>
        <v>ACTUAL SEPTEMBER 30, 2002</v>
      </c>
      <c r="C3" s="167"/>
      <c r="D3" s="182"/>
    </row>
    <row r="4" spans="2:4" ht="15.75" customHeight="1">
      <c r="B4" s="116"/>
      <c r="C4" s="116"/>
      <c r="D4" s="116"/>
    </row>
    <row r="5" spans="2:4" ht="15.75" customHeight="1">
      <c r="B5" s="116"/>
      <c r="C5" s="116"/>
      <c r="D5" s="116"/>
    </row>
    <row r="6" spans="2:4" ht="15.75" customHeight="1">
      <c r="B6" s="337" t="s">
        <v>221</v>
      </c>
      <c r="C6" s="224"/>
      <c r="D6" s="116"/>
    </row>
    <row r="7" spans="1:4" ht="15.75" customHeight="1">
      <c r="A7" s="313"/>
      <c r="B7" s="428" t="s">
        <v>103</v>
      </c>
      <c r="C7" s="190"/>
      <c r="D7" s="146"/>
    </row>
    <row r="8" spans="1:3" ht="15.75" customHeight="1">
      <c r="A8" s="314" t="s">
        <v>112</v>
      </c>
      <c r="B8" s="227" t="s">
        <v>271</v>
      </c>
      <c r="C8" s="227" t="s">
        <v>272</v>
      </c>
    </row>
    <row r="9" ht="4.5" customHeight="1">
      <c r="A9" s="62"/>
    </row>
    <row r="10" spans="1:3" ht="13.5" customHeight="1">
      <c r="A10" s="387" t="s">
        <v>327</v>
      </c>
      <c r="B10" s="364">
        <v>17.739587998208687</v>
      </c>
      <c r="C10" s="364">
        <v>15.24619432437512</v>
      </c>
    </row>
    <row r="11" spans="1:3" ht="13.5" customHeight="1">
      <c r="A11" s="388" t="s">
        <v>328</v>
      </c>
      <c r="B11" s="365">
        <v>16.1084452975048</v>
      </c>
      <c r="C11" s="365">
        <v>13.49199058391227</v>
      </c>
    </row>
    <row r="12" spans="1:3" ht="13.5" customHeight="1">
      <c r="A12" s="387" t="s">
        <v>329</v>
      </c>
      <c r="B12" s="364">
        <v>18.87905604719764</v>
      </c>
      <c r="C12" s="364">
        <v>15.189952511872033</v>
      </c>
    </row>
    <row r="13" spans="1:3" ht="13.5" customHeight="1">
      <c r="A13" s="388" t="s">
        <v>366</v>
      </c>
      <c r="B13" s="365">
        <v>15.655996142290146</v>
      </c>
      <c r="C13" s="365">
        <v>12.383736072927219</v>
      </c>
    </row>
    <row r="14" spans="1:3" ht="13.5" customHeight="1">
      <c r="A14" s="387" t="s">
        <v>330</v>
      </c>
      <c r="B14" s="364">
        <v>19.50485886163813</v>
      </c>
      <c r="C14" s="364">
        <v>16.10469003725284</v>
      </c>
    </row>
    <row r="15" spans="1:3" ht="13.5" customHeight="1">
      <c r="A15" s="388" t="s">
        <v>331</v>
      </c>
      <c r="B15" s="365">
        <v>17.216196319018405</v>
      </c>
      <c r="C15" s="365">
        <v>14.640207792207791</v>
      </c>
    </row>
    <row r="16" spans="1:3" ht="13.5" customHeight="1">
      <c r="A16" s="387" t="s">
        <v>332</v>
      </c>
      <c r="B16" s="364">
        <v>16.078206571808785</v>
      </c>
      <c r="C16" s="364">
        <v>13.548520659018374</v>
      </c>
    </row>
    <row r="17" spans="1:3" ht="13.5" customHeight="1">
      <c r="A17" s="388" t="s">
        <v>333</v>
      </c>
      <c r="B17" s="365">
        <v>15.179074652866733</v>
      </c>
      <c r="C17" s="365">
        <v>12.75492642629722</v>
      </c>
    </row>
    <row r="18" spans="1:3" ht="13.5" customHeight="1">
      <c r="A18" s="387" t="s">
        <v>334</v>
      </c>
      <c r="B18" s="364">
        <v>18.385312841617903</v>
      </c>
      <c r="C18" s="364">
        <v>15.824954049086386</v>
      </c>
    </row>
    <row r="19" spans="1:3" ht="13.5" customHeight="1">
      <c r="A19" s="388" t="s">
        <v>335</v>
      </c>
      <c r="B19" s="365">
        <v>20.57665780708542</v>
      </c>
      <c r="C19" s="365">
        <v>17.891383140418565</v>
      </c>
    </row>
    <row r="20" spans="1:3" ht="13.5" customHeight="1">
      <c r="A20" s="387" t="s">
        <v>336</v>
      </c>
      <c r="B20" s="364">
        <v>18.561110484144</v>
      </c>
      <c r="C20" s="364">
        <v>14.980083288068078</v>
      </c>
    </row>
    <row r="21" spans="1:3" ht="13.5" customHeight="1">
      <c r="A21" s="388" t="s">
        <v>337</v>
      </c>
      <c r="B21" s="365">
        <v>18.20391030597592</v>
      </c>
      <c r="C21" s="365">
        <v>14.820661229501008</v>
      </c>
    </row>
    <row r="22" spans="1:3" ht="13.5" customHeight="1">
      <c r="A22" s="387" t="s">
        <v>338</v>
      </c>
      <c r="B22" s="364">
        <v>17.59625256673511</v>
      </c>
      <c r="C22" s="364">
        <v>14.482940741523185</v>
      </c>
    </row>
    <row r="23" spans="1:3" ht="13.5" customHeight="1">
      <c r="A23" s="388" t="s">
        <v>339</v>
      </c>
      <c r="B23" s="365">
        <v>17.87017543859649</v>
      </c>
      <c r="C23" s="365">
        <v>14.876451612903224</v>
      </c>
    </row>
    <row r="24" spans="1:3" ht="13.5" customHeight="1">
      <c r="A24" s="387" t="s">
        <v>340</v>
      </c>
      <c r="B24" s="364">
        <v>19.3892144597353</v>
      </c>
      <c r="C24" s="364">
        <v>15.228179270562727</v>
      </c>
    </row>
    <row r="25" spans="1:3" ht="13.5" customHeight="1">
      <c r="A25" s="388" t="s">
        <v>341</v>
      </c>
      <c r="B25" s="365">
        <v>16.66750162817494</v>
      </c>
      <c r="C25" s="365">
        <v>14.052308144046645</v>
      </c>
    </row>
    <row r="26" spans="1:3" ht="13.5" customHeight="1">
      <c r="A26" s="387" t="s">
        <v>342</v>
      </c>
      <c r="B26" s="364">
        <v>17.86505152378864</v>
      </c>
      <c r="C26" s="364">
        <v>14.151136509019572</v>
      </c>
    </row>
    <row r="27" spans="1:3" ht="13.5" customHeight="1">
      <c r="A27" s="388" t="s">
        <v>343</v>
      </c>
      <c r="B27" s="365">
        <v>16.993650793650794</v>
      </c>
      <c r="C27" s="365">
        <v>14.387851095282892</v>
      </c>
    </row>
    <row r="28" spans="1:3" ht="13.5" customHeight="1">
      <c r="A28" s="387" t="s">
        <v>344</v>
      </c>
      <c r="B28" s="364">
        <v>18.501582884967565</v>
      </c>
      <c r="C28" s="364">
        <v>14.774116291417663</v>
      </c>
    </row>
    <row r="29" spans="1:3" ht="13.5" customHeight="1">
      <c r="A29" s="388" t="s">
        <v>345</v>
      </c>
      <c r="B29" s="365">
        <v>16.545407636738904</v>
      </c>
      <c r="C29" s="365">
        <v>14.225820763087844</v>
      </c>
    </row>
    <row r="30" spans="1:3" ht="13.5" customHeight="1">
      <c r="A30" s="387" t="s">
        <v>346</v>
      </c>
      <c r="B30" s="364">
        <v>17.68742885021955</v>
      </c>
      <c r="C30" s="364">
        <v>14.55642545092781</v>
      </c>
    </row>
    <row r="31" spans="1:3" ht="13.5" customHeight="1">
      <c r="A31" s="388" t="s">
        <v>347</v>
      </c>
      <c r="B31" s="365">
        <v>16.906474820143885</v>
      </c>
      <c r="C31" s="365">
        <v>14.414524934061218</v>
      </c>
    </row>
    <row r="32" spans="1:3" ht="13.5" customHeight="1">
      <c r="A32" s="387" t="s">
        <v>348</v>
      </c>
      <c r="B32" s="364">
        <v>15.393306989380093</v>
      </c>
      <c r="C32" s="364">
        <v>13.200084714353789</v>
      </c>
    </row>
    <row r="33" spans="1:3" ht="13.5" customHeight="1">
      <c r="A33" s="388" t="s">
        <v>349</v>
      </c>
      <c r="B33" s="365">
        <v>19.063446723794687</v>
      </c>
      <c r="C33" s="365">
        <v>15.948089401586158</v>
      </c>
    </row>
    <row r="34" spans="1:3" ht="13.5" customHeight="1">
      <c r="A34" s="387" t="s">
        <v>350</v>
      </c>
      <c r="B34" s="364">
        <v>18.730872704458694</v>
      </c>
      <c r="C34" s="364">
        <v>15.074578881020669</v>
      </c>
    </row>
    <row r="35" spans="1:3" ht="13.5" customHeight="1">
      <c r="A35" s="388" t="s">
        <v>351</v>
      </c>
      <c r="B35" s="365">
        <v>16.752109787838158</v>
      </c>
      <c r="C35" s="365">
        <v>14.25790427602873</v>
      </c>
    </row>
    <row r="36" spans="1:3" ht="13.5" customHeight="1">
      <c r="A36" s="387" t="s">
        <v>352</v>
      </c>
      <c r="B36" s="364">
        <v>19.58796940194715</v>
      </c>
      <c r="C36" s="364">
        <v>15.945372204924992</v>
      </c>
    </row>
    <row r="37" spans="1:3" ht="13.5" customHeight="1">
      <c r="A37" s="388" t="s">
        <v>353</v>
      </c>
      <c r="B37" s="365">
        <v>18.221386351423966</v>
      </c>
      <c r="C37" s="365">
        <v>15.392325056433409</v>
      </c>
    </row>
    <row r="38" spans="1:3" ht="13.5" customHeight="1">
      <c r="A38" s="387" t="s">
        <v>354</v>
      </c>
      <c r="B38" s="364">
        <v>16.873425986381868</v>
      </c>
      <c r="C38" s="364">
        <v>14.491708723864457</v>
      </c>
    </row>
    <row r="39" spans="1:3" ht="13.5" customHeight="1">
      <c r="A39" s="388" t="s">
        <v>355</v>
      </c>
      <c r="B39" s="365">
        <v>18.234930855048695</v>
      </c>
      <c r="C39" s="365">
        <v>14.970123282499136</v>
      </c>
    </row>
    <row r="40" spans="1:3" ht="13.5" customHeight="1">
      <c r="A40" s="387" t="s">
        <v>356</v>
      </c>
      <c r="B40" s="364">
        <v>17.67754041570439</v>
      </c>
      <c r="C40" s="364">
        <v>14.328436516264428</v>
      </c>
    </row>
    <row r="41" spans="1:3" ht="13.5" customHeight="1">
      <c r="A41" s="388" t="s">
        <v>357</v>
      </c>
      <c r="B41" s="365">
        <v>17.83965844402277</v>
      </c>
      <c r="C41" s="365">
        <v>15.294452578493575</v>
      </c>
    </row>
    <row r="42" spans="1:3" ht="13.5" customHeight="1">
      <c r="A42" s="387" t="s">
        <v>358</v>
      </c>
      <c r="B42" s="364">
        <v>15.763610500452605</v>
      </c>
      <c r="C42" s="364">
        <v>13.69047619047619</v>
      </c>
    </row>
    <row r="43" spans="1:3" ht="13.5" customHeight="1">
      <c r="A43" s="388" t="s">
        <v>359</v>
      </c>
      <c r="B43" s="365">
        <v>15.893203883495145</v>
      </c>
      <c r="C43" s="365">
        <v>13.356723237597912</v>
      </c>
    </row>
    <row r="44" spans="1:3" ht="13.5" customHeight="1">
      <c r="A44" s="387" t="s">
        <v>360</v>
      </c>
      <c r="B44" s="364">
        <v>19.860197368421055</v>
      </c>
      <c r="C44" s="364">
        <v>16.69338218456606</v>
      </c>
    </row>
    <row r="45" spans="1:3" ht="13.5" customHeight="1">
      <c r="A45" s="388" t="s">
        <v>361</v>
      </c>
      <c r="B45" s="365">
        <v>19.187481425008723</v>
      </c>
      <c r="C45" s="365">
        <v>14.606049405531941</v>
      </c>
    </row>
    <row r="46" spans="1:3" ht="13.5" customHeight="1">
      <c r="A46" s="387" t="s">
        <v>365</v>
      </c>
      <c r="B46" s="364">
        <v>20.436713055003313</v>
      </c>
      <c r="C46" s="364">
        <v>18.41684084801433</v>
      </c>
    </row>
    <row r="47" spans="1:3" ht="4.5" customHeight="1">
      <c r="A47" s="389"/>
      <c r="B47" s="366"/>
      <c r="C47" s="366"/>
    </row>
    <row r="48" spans="1:4" ht="13.5" customHeight="1">
      <c r="A48" s="383" t="s">
        <v>362</v>
      </c>
      <c r="B48" s="367">
        <v>18.20450681366708</v>
      </c>
      <c r="C48" s="367">
        <v>14.770265318043217</v>
      </c>
      <c r="D48" s="62"/>
    </row>
    <row r="49" spans="1:3" ht="4.5" customHeight="1">
      <c r="A49" s="389" t="s">
        <v>15</v>
      </c>
      <c r="B49" s="366"/>
      <c r="C49" s="366"/>
    </row>
    <row r="50" spans="1:3" ht="13.5" customHeight="1">
      <c r="A50" s="388" t="s">
        <v>363</v>
      </c>
      <c r="B50" s="365">
        <v>14.926829268292684</v>
      </c>
      <c r="C50" s="365">
        <v>13.6</v>
      </c>
    </row>
    <row r="51" spans="1:3" ht="13.5" customHeight="1">
      <c r="A51" s="387" t="s">
        <v>364</v>
      </c>
      <c r="B51" s="364">
        <v>13.534952900347049</v>
      </c>
      <c r="C51" s="364">
        <v>11.375</v>
      </c>
    </row>
    <row r="52" spans="1:4" ht="49.5" customHeight="1">
      <c r="A52" s="324"/>
      <c r="B52" s="324"/>
      <c r="C52" s="324"/>
      <c r="D52" s="324"/>
    </row>
    <row r="53" spans="1:4" ht="15" customHeight="1">
      <c r="A53" s="99" t="s">
        <v>431</v>
      </c>
      <c r="B53" s="100"/>
      <c r="C53" s="99"/>
      <c r="D53" s="99"/>
    </row>
    <row r="54" spans="1:4" ht="14.25" customHeight="1">
      <c r="A54" s="482" t="s">
        <v>536</v>
      </c>
      <c r="B54" s="100"/>
      <c r="C54" s="99"/>
      <c r="D54" s="99"/>
    </row>
    <row r="55" spans="1:4" ht="14.25" customHeight="1">
      <c r="A55" s="482" t="s">
        <v>432</v>
      </c>
      <c r="C55" s="99"/>
      <c r="D55" s="99"/>
    </row>
    <row r="56" spans="1:4" ht="14.25" customHeight="1">
      <c r="A56" s="482" t="s">
        <v>433</v>
      </c>
      <c r="C56" s="99"/>
      <c r="D56" s="99"/>
    </row>
    <row r="57" spans="1:4" ht="14.25" customHeight="1">
      <c r="A57" s="482" t="s">
        <v>434</v>
      </c>
      <c r="B57" s="100"/>
      <c r="C57" s="99"/>
      <c r="D57" s="99"/>
    </row>
    <row r="58" spans="1:4" ht="14.25" customHeight="1">
      <c r="A58" s="482" t="s">
        <v>435</v>
      </c>
      <c r="B58" s="100"/>
      <c r="C58" s="99"/>
      <c r="D58" s="99"/>
    </row>
    <row r="59" ht="14.25"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30"/>
  <sheetViews>
    <sheetView showGridLines="0" showZeros="0" workbookViewId="0" topLeftCell="A1">
      <selection activeCell="A1" sqref="A1"/>
    </sheetView>
  </sheetViews>
  <sheetFormatPr defaultColWidth="15.83203125" defaultRowHeight="12"/>
  <cols>
    <col min="1" max="1" width="5.83203125" style="67" customWidth="1"/>
    <col min="2" max="2" width="45.83203125" style="67" customWidth="1"/>
    <col min="3" max="7" width="17.83203125" style="67" customWidth="1"/>
    <col min="8" max="8" width="15.83203125" style="67" customWidth="1"/>
    <col min="9" max="9" width="2.83203125" style="67" customWidth="1"/>
    <col min="10" max="10" width="17.83203125" style="67" customWidth="1"/>
    <col min="11" max="11" width="15.83203125" style="67" customWidth="1"/>
    <col min="12" max="16384" width="15.83203125" style="67" customWidth="1"/>
  </cols>
  <sheetData>
    <row r="2" spans="1:10" ht="12.75">
      <c r="A2" s="140"/>
      <c r="B2" s="140"/>
      <c r="C2" s="102" t="str">
        <f>OPYEAR</f>
        <v>OPERATING FUND 2002/2003 ACTUAL</v>
      </c>
      <c r="D2" s="85"/>
      <c r="E2" s="85"/>
      <c r="F2" s="85"/>
      <c r="G2" s="85"/>
      <c r="H2" s="85"/>
      <c r="I2" s="85"/>
      <c r="J2" s="238"/>
    </row>
    <row r="4" spans="3:10" ht="12.75">
      <c r="C4" s="116"/>
      <c r="D4" s="116"/>
      <c r="E4" s="116"/>
      <c r="F4" s="116"/>
      <c r="G4" s="116"/>
      <c r="H4" s="116"/>
      <c r="I4" s="116"/>
      <c r="J4" s="116"/>
    </row>
    <row r="5" spans="3:10" ht="15.75">
      <c r="C5" s="260" t="s">
        <v>196</v>
      </c>
      <c r="D5" s="125"/>
      <c r="E5" s="125"/>
      <c r="F5" s="125"/>
      <c r="G5" s="125"/>
      <c r="H5" s="125"/>
      <c r="I5" s="125"/>
      <c r="J5" s="116"/>
    </row>
    <row r="6" spans="3:10" ht="15.75">
      <c r="C6" s="260" t="s">
        <v>540</v>
      </c>
      <c r="D6" s="125"/>
      <c r="E6" s="125"/>
      <c r="F6" s="125"/>
      <c r="G6" s="125"/>
      <c r="H6" s="125"/>
      <c r="I6" s="125"/>
      <c r="J6" s="116"/>
    </row>
    <row r="7" spans="3:10" ht="12.75">
      <c r="C7" s="116"/>
      <c r="D7" s="116"/>
      <c r="E7" s="116"/>
      <c r="F7" s="116"/>
      <c r="G7" s="116"/>
      <c r="H7" s="116"/>
      <c r="I7" s="116"/>
      <c r="J7" s="116"/>
    </row>
    <row r="8" spans="3:10" ht="12.75">
      <c r="C8" s="116"/>
      <c r="D8" s="116"/>
      <c r="E8" s="116"/>
      <c r="F8" s="116"/>
      <c r="G8" s="116"/>
      <c r="H8" s="116"/>
      <c r="I8" s="116"/>
      <c r="J8" s="116"/>
    </row>
    <row r="9" spans="3:10" ht="12.75">
      <c r="C9" s="154" t="s">
        <v>197</v>
      </c>
      <c r="D9" s="155"/>
      <c r="E9" s="155"/>
      <c r="F9" s="155"/>
      <c r="G9" s="155"/>
      <c r="H9" s="155"/>
      <c r="I9" s="158"/>
      <c r="J9" s="116"/>
    </row>
    <row r="10" spans="3:10" ht="12.75">
      <c r="C10" s="116"/>
      <c r="D10" s="116"/>
      <c r="E10" s="116"/>
      <c r="F10" s="116"/>
      <c r="G10" s="116"/>
      <c r="H10" s="116"/>
      <c r="I10" s="116"/>
      <c r="J10" s="116"/>
    </row>
    <row r="11" spans="1:10" ht="12.75">
      <c r="A11" s="527"/>
      <c r="B11" s="528"/>
      <c r="C11" s="117"/>
      <c r="D11" s="117" t="s">
        <v>198</v>
      </c>
      <c r="E11" s="242"/>
      <c r="F11" s="117" t="s">
        <v>199</v>
      </c>
      <c r="G11" s="117" t="s">
        <v>174</v>
      </c>
      <c r="H11" s="243"/>
      <c r="I11" s="170"/>
      <c r="J11" s="531"/>
    </row>
    <row r="12" spans="1:10" ht="12.75">
      <c r="A12" s="540" t="s">
        <v>210</v>
      </c>
      <c r="B12" s="541"/>
      <c r="C12" s="121" t="s">
        <v>200</v>
      </c>
      <c r="D12" s="121" t="s">
        <v>201</v>
      </c>
      <c r="E12" s="56" t="s">
        <v>184</v>
      </c>
      <c r="F12" s="121" t="s">
        <v>202</v>
      </c>
      <c r="G12" s="121" t="s">
        <v>184</v>
      </c>
      <c r="H12" s="55" t="s">
        <v>125</v>
      </c>
      <c r="I12" s="180"/>
      <c r="J12" s="218" t="s">
        <v>203</v>
      </c>
    </row>
    <row r="14" spans="1:10" ht="12.75">
      <c r="A14" s="532">
        <v>100</v>
      </c>
      <c r="B14" s="62" t="s">
        <v>74</v>
      </c>
      <c r="C14" s="392">
        <f>'- 12 -'!B21</f>
        <v>668395315.3999997</v>
      </c>
      <c r="D14" s="393">
        <f>'- 12 -'!B22</f>
        <v>44820950.19999999</v>
      </c>
      <c r="E14" s="393">
        <f>'- 12 -'!B39</f>
        <v>18988455.95</v>
      </c>
      <c r="F14" s="393">
        <f>'- 12 -'!B46</f>
        <v>51765066.129999995</v>
      </c>
      <c r="G14" s="240"/>
      <c r="H14" s="525"/>
      <c r="I14" s="240"/>
      <c r="J14" s="392">
        <f>SUM(C14:F14)</f>
        <v>783969787.6799997</v>
      </c>
    </row>
    <row r="15" spans="1:10" ht="24" customHeight="1">
      <c r="A15" s="532">
        <v>200</v>
      </c>
      <c r="B15" s="62" t="s">
        <v>75</v>
      </c>
      <c r="C15" s="392">
        <f>'- 12 -'!D21</f>
        <v>164816194.64</v>
      </c>
      <c r="D15" s="393">
        <f>'- 12 -'!D22</f>
        <v>15209923.290000001</v>
      </c>
      <c r="E15" s="393">
        <f>'- 12 -'!D39</f>
        <v>8767609.11</v>
      </c>
      <c r="F15" s="393">
        <f>'- 12 -'!D46</f>
        <v>2837648.3999999994</v>
      </c>
      <c r="G15" s="240"/>
      <c r="H15" s="525"/>
      <c r="I15" s="240"/>
      <c r="J15" s="392">
        <f>SUM(C15:F15)</f>
        <v>191631375.43999997</v>
      </c>
    </row>
    <row r="16" spans="1:10" ht="24" customHeight="1">
      <c r="A16" s="532">
        <v>300</v>
      </c>
      <c r="B16" s="62" t="s">
        <v>305</v>
      </c>
      <c r="C16" s="392">
        <f>'- 12 -'!F21</f>
        <v>4707098.02</v>
      </c>
      <c r="D16" s="393">
        <f>'- 12 -'!F22</f>
        <v>319421</v>
      </c>
      <c r="E16" s="393">
        <f>'- 12 -'!F39</f>
        <v>1010962</v>
      </c>
      <c r="F16" s="393">
        <f>'- 12 -'!F46</f>
        <v>511631</v>
      </c>
      <c r="G16" s="240"/>
      <c r="H16" s="525">
        <f>'- 12 -'!F48</f>
        <v>64033</v>
      </c>
      <c r="I16" s="526" t="s">
        <v>243</v>
      </c>
      <c r="J16" s="392">
        <f>SUM(C16:H16)</f>
        <v>6613145.02</v>
      </c>
    </row>
    <row r="17" spans="1:10" ht="24" customHeight="1">
      <c r="A17" s="532">
        <v>400</v>
      </c>
      <c r="B17" s="62" t="s">
        <v>204</v>
      </c>
      <c r="C17" s="392">
        <f>'- 12 -'!H21</f>
        <v>7257381.56</v>
      </c>
      <c r="D17" s="393">
        <f>'- 12 -'!H22</f>
        <v>555241.83</v>
      </c>
      <c r="E17" s="393">
        <f>'- 12 -'!H39</f>
        <v>1001646.72</v>
      </c>
      <c r="F17" s="393">
        <f>'- 12 -'!H46</f>
        <v>588547.41</v>
      </c>
      <c r="G17" s="240"/>
      <c r="H17" s="525"/>
      <c r="I17" s="240"/>
      <c r="J17" s="392">
        <f>SUM(C17:F17)</f>
        <v>9402817.52</v>
      </c>
    </row>
    <row r="18" spans="1:10" ht="24" customHeight="1">
      <c r="A18" s="532">
        <v>500</v>
      </c>
      <c r="B18" s="62" t="s">
        <v>236</v>
      </c>
      <c r="C18" s="392">
        <f>'- 12 -'!J21</f>
        <v>30428749.4</v>
      </c>
      <c r="D18" s="393">
        <f>'- 12 -'!J22</f>
        <v>3528823.49</v>
      </c>
      <c r="E18" s="393">
        <f>'- 12 -'!J39</f>
        <v>11681240.129999999</v>
      </c>
      <c r="F18" s="393">
        <f>'- 12 -'!J46</f>
        <v>3308478.22</v>
      </c>
      <c r="G18" s="240"/>
      <c r="H18" s="525">
        <f>'- 12 -'!J48</f>
        <v>-64033</v>
      </c>
      <c r="I18" s="526" t="s">
        <v>243</v>
      </c>
      <c r="J18" s="392">
        <f>SUM(C18:H18)</f>
        <v>48883258.239999995</v>
      </c>
    </row>
    <row r="19" spans="1:11" ht="12" customHeight="1">
      <c r="A19" s="532"/>
      <c r="B19" s="62"/>
      <c r="C19" s="152"/>
      <c r="D19" s="241"/>
      <c r="E19" s="241"/>
      <c r="F19" s="241"/>
      <c r="G19" s="240"/>
      <c r="H19" s="245"/>
      <c r="I19" s="240"/>
      <c r="J19" s="392"/>
      <c r="K19" s="538" t="s">
        <v>244</v>
      </c>
    </row>
    <row r="20" spans="1:11" ht="24" customHeight="1">
      <c r="A20" s="533">
        <v>600</v>
      </c>
      <c r="B20" s="244" t="s">
        <v>223</v>
      </c>
      <c r="C20" s="392">
        <f>'- 13 -'!B21</f>
        <v>49842707.92</v>
      </c>
      <c r="D20" s="393">
        <f>'- 13 -'!B22</f>
        <v>3825091.14</v>
      </c>
      <c r="E20" s="393">
        <f>'- 13 -'!B39</f>
        <v>7572254.100000001</v>
      </c>
      <c r="F20" s="393">
        <f>'- 13 -'!B46</f>
        <v>6362564.21</v>
      </c>
      <c r="G20" s="240"/>
      <c r="H20" s="525"/>
      <c r="I20" s="240"/>
      <c r="J20" s="392">
        <f>SUM(C20:F20)</f>
        <v>67602617.37</v>
      </c>
      <c r="K20" s="539"/>
    </row>
    <row r="21" spans="1:11" ht="24" customHeight="1">
      <c r="A21" s="532">
        <v>700</v>
      </c>
      <c r="B21" s="62" t="s">
        <v>205</v>
      </c>
      <c r="C21" s="392">
        <f>'- 13 -'!D21</f>
        <v>24968190.18</v>
      </c>
      <c r="D21" s="393">
        <f>'- 13 -'!D22</f>
        <v>3299021.35</v>
      </c>
      <c r="E21" s="393">
        <f>'- 13 -'!D39</f>
        <v>15027319.829999998</v>
      </c>
      <c r="F21" s="393">
        <f>'- 13 -'!D46</f>
        <v>10497952.19</v>
      </c>
      <c r="G21" s="240"/>
      <c r="H21" s="525"/>
      <c r="I21" s="240"/>
      <c r="J21" s="392">
        <f>SUM(C21:F21)</f>
        <v>53792483.55</v>
      </c>
      <c r="K21" s="306"/>
    </row>
    <row r="22" spans="1:10" ht="24" customHeight="1">
      <c r="A22" s="532">
        <v>800</v>
      </c>
      <c r="B22" s="62" t="s">
        <v>206</v>
      </c>
      <c r="C22" s="392">
        <f>'- 13 -'!F21</f>
        <v>67831325.4</v>
      </c>
      <c r="D22" s="393">
        <f>'- 13 -'!F22</f>
        <v>9950081.19</v>
      </c>
      <c r="E22" s="393">
        <f>'- 13 -'!F39</f>
        <v>69103628.05000001</v>
      </c>
      <c r="F22" s="393">
        <f>'- 13 -'!F46</f>
        <v>14753839.95</v>
      </c>
      <c r="G22" s="240"/>
      <c r="H22" s="525"/>
      <c r="I22" s="240"/>
      <c r="J22" s="392">
        <f>SUM(C22:F22)</f>
        <v>161638874.59</v>
      </c>
    </row>
    <row r="23" spans="1:10" ht="24" customHeight="1">
      <c r="A23" s="532">
        <v>900</v>
      </c>
      <c r="B23" s="62" t="s">
        <v>80</v>
      </c>
      <c r="C23" s="152"/>
      <c r="D23" s="241"/>
      <c r="E23" s="241"/>
      <c r="F23" s="241"/>
      <c r="G23" s="393">
        <v>1981920.75</v>
      </c>
      <c r="H23" s="245">
        <v>21981433.369999997</v>
      </c>
      <c r="I23" s="526" t="s">
        <v>513</v>
      </c>
      <c r="J23" s="392">
        <f>SUM(G23:H23)</f>
        <v>23963354.119999997</v>
      </c>
    </row>
    <row r="24" spans="1:10" ht="12.75">
      <c r="A24" s="532"/>
      <c r="B24" s="62"/>
      <c r="C24" s="152"/>
      <c r="D24" s="241"/>
      <c r="E24" s="241"/>
      <c r="F24" s="241"/>
      <c r="G24" s="241"/>
      <c r="H24" s="245"/>
      <c r="I24" s="240"/>
      <c r="J24" s="152"/>
    </row>
    <row r="25" spans="2:10" ht="12.75">
      <c r="B25" s="62"/>
      <c r="C25" s="124"/>
      <c r="D25" s="124"/>
      <c r="E25" s="124"/>
      <c r="F25" s="124"/>
      <c r="G25" s="124"/>
      <c r="H25" s="124"/>
      <c r="J25" s="124"/>
    </row>
    <row r="26" spans="1:11" ht="12.75">
      <c r="A26" s="529"/>
      <c r="B26" s="530" t="s">
        <v>203</v>
      </c>
      <c r="C26" s="394">
        <f>SUM(C14:C23)</f>
        <v>1018246962.5199995</v>
      </c>
      <c r="D26" s="395">
        <f>SUM(D14:D23)</f>
        <v>81508553.48999998</v>
      </c>
      <c r="E26" s="395">
        <f>SUM(E14:E23)</f>
        <v>133153115.89000002</v>
      </c>
      <c r="F26" s="395">
        <f>SUM(F14:F23)</f>
        <v>90625727.50999999</v>
      </c>
      <c r="G26" s="395">
        <f>G23</f>
        <v>1981920.75</v>
      </c>
      <c r="H26" s="396">
        <f>H23</f>
        <v>21981433.369999997</v>
      </c>
      <c r="I26" s="397"/>
      <c r="J26" s="394">
        <f>SUM(J14:J23)</f>
        <v>1347497713.5299993</v>
      </c>
      <c r="K26" s="67">
        <f>J26-'- 3 -'!D49</f>
        <v>0</v>
      </c>
    </row>
    <row r="27" spans="3:8" ht="12.75">
      <c r="C27" s="124"/>
      <c r="D27" s="124"/>
      <c r="E27" s="124"/>
      <c r="F27" s="124"/>
      <c r="G27" s="124"/>
      <c r="H27" s="124"/>
    </row>
    <row r="28" ht="60" customHeight="1"/>
    <row r="29" spans="1:3" ht="15">
      <c r="A29" s="483" t="s">
        <v>243</v>
      </c>
      <c r="B29" s="480" t="s">
        <v>537</v>
      </c>
      <c r="C29" s="62"/>
    </row>
    <row r="30" spans="1:2" ht="15">
      <c r="A30" s="483" t="s">
        <v>513</v>
      </c>
      <c r="B30" s="480" t="s">
        <v>436</v>
      </c>
    </row>
  </sheetData>
  <mergeCells count="2">
    <mergeCell ref="K19:K20"/>
    <mergeCell ref="A12:B12"/>
  </mergeCells>
  <printOptions/>
  <pageMargins left="0.3" right="0" top="0.75" bottom="0.5" header="0.3" footer="0"/>
  <pageSetup fitToHeight="1" fitToWidth="1" horizontalDpi="300" verticalDpi="300" orientation="landscape" scale="85"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2"/>
  <sheetViews>
    <sheetView showGridLines="0" showZeros="0" workbookViewId="0" topLeftCell="A1">
      <selection activeCell="A1" sqref="A1"/>
    </sheetView>
  </sheetViews>
  <sheetFormatPr defaultColWidth="15.83203125" defaultRowHeight="12"/>
  <cols>
    <col min="1" max="1" width="52.83203125" style="67" customWidth="1"/>
    <col min="2" max="2" width="15.83203125" style="67" customWidth="1"/>
    <col min="3" max="3" width="8.83203125" style="67" customWidth="1"/>
    <col min="4" max="4" width="15.83203125" style="67" customWidth="1"/>
    <col min="5" max="5" width="8.83203125" style="67" customWidth="1"/>
    <col min="6" max="6" width="15.83203125" style="67" customWidth="1"/>
    <col min="7" max="7" width="8.83203125" style="67" customWidth="1"/>
    <col min="8" max="8" width="15.83203125" style="67" customWidth="1"/>
    <col min="9" max="9" width="8.83203125" style="67" customWidth="1"/>
    <col min="10" max="10" width="15.83203125" style="67" customWidth="1"/>
    <col min="11" max="11" width="8.83203125" style="67" customWidth="1"/>
    <col min="12" max="12" width="10.83203125" style="67" customWidth="1"/>
    <col min="13" max="16384" width="15.83203125" style="67" customWidth="1"/>
  </cols>
  <sheetData>
    <row r="2" spans="1:11" ht="12.75">
      <c r="A2" s="140"/>
      <c r="B2" s="140"/>
      <c r="C2" s="140"/>
      <c r="D2" s="102" t="str">
        <f>OPYEAR</f>
        <v>OPERATING FUND 2002/2003 ACTUAL</v>
      </c>
      <c r="E2" s="102"/>
      <c r="F2" s="102"/>
      <c r="G2" s="102"/>
      <c r="H2" s="85"/>
      <c r="I2" s="85"/>
      <c r="J2" s="238"/>
      <c r="K2" s="86" t="s">
        <v>19</v>
      </c>
    </row>
    <row r="3" spans="10:11" ht="9" customHeight="1">
      <c r="J3" s="139"/>
      <c r="K3" s="139"/>
    </row>
    <row r="4" spans="2:11" ht="15.75">
      <c r="B4" s="261" t="s">
        <v>208</v>
      </c>
      <c r="C4" s="139"/>
      <c r="D4" s="139"/>
      <c r="E4" s="139"/>
      <c r="F4" s="139"/>
      <c r="G4" s="139"/>
      <c r="H4" s="139"/>
      <c r="I4" s="139"/>
      <c r="J4" s="139"/>
      <c r="K4" s="139"/>
    </row>
    <row r="5" spans="2:11" ht="15.75">
      <c r="B5" s="261" t="s">
        <v>209</v>
      </c>
      <c r="C5" s="139"/>
      <c r="D5" s="139"/>
      <c r="E5" s="139"/>
      <c r="F5" s="139"/>
      <c r="G5" s="139"/>
      <c r="H5" s="139"/>
      <c r="I5" s="139"/>
      <c r="J5" s="139"/>
      <c r="K5" s="139"/>
    </row>
    <row r="6" ht="9" customHeight="1"/>
    <row r="7" spans="2:11" ht="12.75">
      <c r="B7" s="101" t="s">
        <v>210</v>
      </c>
      <c r="C7" s="85"/>
      <c r="D7" s="85"/>
      <c r="E7" s="85"/>
      <c r="F7" s="85"/>
      <c r="G7" s="85"/>
      <c r="H7" s="85"/>
      <c r="I7" s="85"/>
      <c r="J7" s="85"/>
      <c r="K7" s="108"/>
    </row>
    <row r="8" spans="1:11" ht="12.75">
      <c r="A8" s="116"/>
      <c r="B8" s="448" t="s">
        <v>90</v>
      </c>
      <c r="C8" s="449"/>
      <c r="D8" s="447"/>
      <c r="E8" s="449"/>
      <c r="F8" s="296" t="s">
        <v>284</v>
      </c>
      <c r="G8" s="449"/>
      <c r="H8" s="296" t="s">
        <v>85</v>
      </c>
      <c r="I8" s="449"/>
      <c r="J8" s="296" t="s">
        <v>233</v>
      </c>
      <c r="K8" s="449"/>
    </row>
    <row r="9" spans="1:11" ht="12.75">
      <c r="A9" s="116"/>
      <c r="B9" s="450" t="s">
        <v>211</v>
      </c>
      <c r="C9" s="451"/>
      <c r="D9" s="452" t="s">
        <v>75</v>
      </c>
      <c r="E9" s="451"/>
      <c r="F9" s="452" t="s">
        <v>371</v>
      </c>
      <c r="G9" s="451"/>
      <c r="H9" s="452" t="s">
        <v>109</v>
      </c>
      <c r="I9" s="451"/>
      <c r="J9" s="452" t="s">
        <v>50</v>
      </c>
      <c r="K9" s="451"/>
    </row>
    <row r="10" spans="1:11" ht="12.75">
      <c r="A10" s="409" t="s">
        <v>197</v>
      </c>
      <c r="B10" s="239" t="s">
        <v>113</v>
      </c>
      <c r="C10" s="239" t="s">
        <v>114</v>
      </c>
      <c r="D10" s="239" t="s">
        <v>113</v>
      </c>
      <c r="E10" s="239" t="s">
        <v>114</v>
      </c>
      <c r="F10" s="239" t="s">
        <v>113</v>
      </c>
      <c r="G10" s="239" t="s">
        <v>114</v>
      </c>
      <c r="H10" s="239" t="s">
        <v>113</v>
      </c>
      <c r="I10" s="239" t="s">
        <v>114</v>
      </c>
      <c r="J10" s="239" t="s">
        <v>113</v>
      </c>
      <c r="K10" s="218" t="s">
        <v>114</v>
      </c>
    </row>
    <row r="11" spans="1:11" ht="4.5" customHeight="1">
      <c r="A11" s="454"/>
      <c r="B11" s="116"/>
      <c r="C11" s="116"/>
      <c r="D11" s="116"/>
      <c r="E11" s="116"/>
      <c r="F11" s="116"/>
      <c r="G11" s="116"/>
      <c r="H11" s="116"/>
      <c r="I11" s="116"/>
      <c r="J11" s="116"/>
      <c r="K11" s="116"/>
    </row>
    <row r="12" spans="1:11" ht="12.75">
      <c r="A12" s="465" t="s">
        <v>200</v>
      </c>
      <c r="B12" s="468"/>
      <c r="C12" s="469"/>
      <c r="D12" s="468"/>
      <c r="E12" s="469"/>
      <c r="F12" s="468"/>
      <c r="G12" s="469"/>
      <c r="H12" s="468"/>
      <c r="I12" s="469"/>
      <c r="J12" s="468"/>
      <c r="K12" s="469"/>
    </row>
    <row r="13" spans="1:11" ht="12.75">
      <c r="A13" s="410" t="s">
        <v>375</v>
      </c>
      <c r="B13" s="398"/>
      <c r="C13" s="262"/>
      <c r="D13" s="398"/>
      <c r="E13" s="262"/>
      <c r="F13" s="398"/>
      <c r="G13" s="262"/>
      <c r="H13" s="398"/>
      <c r="I13" s="262"/>
      <c r="J13" s="398">
        <v>2951318.62</v>
      </c>
      <c r="K13" s="262"/>
    </row>
    <row r="14" spans="1:11" ht="12.75">
      <c r="A14" s="410" t="s">
        <v>520</v>
      </c>
      <c r="B14" s="398">
        <v>53657348.660000004</v>
      </c>
      <c r="C14" s="262">
        <f>B14/'- 13 -'!$J$52</f>
        <v>0.039819992361571764</v>
      </c>
      <c r="D14" s="398">
        <v>5605217.82</v>
      </c>
      <c r="E14" s="262">
        <f>D14/'- 13 -'!$J$52</f>
        <v>0.004159723436796176</v>
      </c>
      <c r="F14" s="398">
        <v>349222</v>
      </c>
      <c r="G14" s="262">
        <f>F14/'- 13 -'!$J$52</f>
        <v>0.00025916333400310824</v>
      </c>
      <c r="H14" s="398">
        <v>640906</v>
      </c>
      <c r="I14" s="262">
        <f>H14/'- 13 -'!$J$52</f>
        <v>0.0004756267810807913</v>
      </c>
      <c r="J14" s="398">
        <v>14548970.25</v>
      </c>
      <c r="K14" s="262">
        <f>J14/'- 13 -'!$J$52</f>
        <v>0.010797027782619753</v>
      </c>
    </row>
    <row r="15" spans="1:11" ht="12.75">
      <c r="A15" s="410" t="s">
        <v>376</v>
      </c>
      <c r="B15" s="398">
        <v>565294842.7699999</v>
      </c>
      <c r="C15" s="262">
        <f>B15/'- 13 -'!$J$52</f>
        <v>0.4195145098162087</v>
      </c>
      <c r="D15" s="398">
        <v>65004656.42</v>
      </c>
      <c r="E15" s="262">
        <f>D15/'- 13 -'!$J$52</f>
        <v>0.048241014264661895</v>
      </c>
      <c r="F15" s="398">
        <v>3695738.02</v>
      </c>
      <c r="G15" s="262">
        <f>F15/'- 13 -'!$J$52</f>
        <v>0.002742667377385291</v>
      </c>
      <c r="H15" s="398">
        <v>4570469</v>
      </c>
      <c r="I15" s="262">
        <f>H15/'- 13 -'!$J$52</f>
        <v>0.0033918194844478645</v>
      </c>
      <c r="J15" s="398"/>
      <c r="K15" s="262">
        <f>J15/'- 13 -'!$J$52</f>
        <v>0</v>
      </c>
    </row>
    <row r="16" spans="1:11" ht="12.75">
      <c r="A16" s="410" t="s">
        <v>377</v>
      </c>
      <c r="B16" s="398">
        <v>16220908.29</v>
      </c>
      <c r="C16" s="262">
        <f>B16/'- 13 -'!$J$52</f>
        <v>0.0120378002330754</v>
      </c>
      <c r="D16" s="398">
        <v>74945371.85</v>
      </c>
      <c r="E16" s="262">
        <f>D16/'- 13 -'!$J$52</f>
        <v>0.05561818109039149</v>
      </c>
      <c r="F16" s="398">
        <v>217338</v>
      </c>
      <c r="G16" s="262">
        <f>F16/'- 13 -'!$J$52</f>
        <v>0.00016129006959918774</v>
      </c>
      <c r="H16" s="398">
        <v>1007902.05</v>
      </c>
      <c r="I16" s="262">
        <f>H16/'- 13 -'!$J$52</f>
        <v>0.0007479805270760935</v>
      </c>
      <c r="J16" s="398"/>
      <c r="K16" s="262">
        <f>J16/'- 13 -'!$J$52</f>
        <v>0</v>
      </c>
    </row>
    <row r="17" spans="1:11" ht="12.75">
      <c r="A17" s="410" t="s">
        <v>378</v>
      </c>
      <c r="B17" s="398">
        <v>2574128.36</v>
      </c>
      <c r="C17" s="262">
        <f>B17/'- 13 -'!$J$52</f>
        <v>0.00191030258096441</v>
      </c>
      <c r="D17" s="398">
        <v>2049036.56</v>
      </c>
      <c r="E17" s="262">
        <f>D17/'- 13 -'!$J$52</f>
        <v>0.0015206234039775845</v>
      </c>
      <c r="F17" s="398">
        <v>210828</v>
      </c>
      <c r="G17" s="262">
        <f>F17/'- 13 -'!$J$52</f>
        <v>0.000156458892570363</v>
      </c>
      <c r="H17" s="398">
        <v>488258</v>
      </c>
      <c r="I17" s="262">
        <f>H17/'- 13 -'!$J$52</f>
        <v>0.00036234421409215233</v>
      </c>
      <c r="J17" s="398">
        <v>2300961.11</v>
      </c>
      <c r="K17" s="262">
        <f>J17/'- 13 -'!$J$52</f>
        <v>0.0017075807156453277</v>
      </c>
    </row>
    <row r="18" spans="1:11" ht="12.75">
      <c r="A18" s="265" t="s">
        <v>379</v>
      </c>
      <c r="B18" s="399">
        <v>24371529.89</v>
      </c>
      <c r="C18" s="264">
        <f>B18/'- 13 -'!$J$52</f>
        <v>0.018086509272178745</v>
      </c>
      <c r="D18" s="399">
        <v>1818830.45</v>
      </c>
      <c r="E18" s="264">
        <f>D18/'- 13 -'!$J$52</f>
        <v>0.00134978370036359</v>
      </c>
      <c r="F18" s="399">
        <v>229696</v>
      </c>
      <c r="G18" s="264">
        <f>F18/'- 13 -'!$J$52</f>
        <v>0.00017046114267479698</v>
      </c>
      <c r="H18" s="399">
        <v>474125</v>
      </c>
      <c r="I18" s="264">
        <f>H18/'- 13 -'!$J$52</f>
        <v>0.00035185588460699414</v>
      </c>
      <c r="J18" s="399">
        <v>10075720.42</v>
      </c>
      <c r="K18" s="264">
        <f>J18/'- 13 -'!$J$52</f>
        <v>0.007477356227644301</v>
      </c>
    </row>
    <row r="19" spans="1:11" ht="12.75">
      <c r="A19" s="265" t="s">
        <v>380</v>
      </c>
      <c r="B19" s="400"/>
      <c r="C19" s="264"/>
      <c r="D19" s="400">
        <v>15380630.54</v>
      </c>
      <c r="E19" s="264">
        <f>D19/'- 13 -'!$J$52</f>
        <v>0.01141421642913799</v>
      </c>
      <c r="F19" s="400"/>
      <c r="G19" s="264"/>
      <c r="H19" s="400">
        <v>55732.51</v>
      </c>
      <c r="I19" s="264"/>
      <c r="J19" s="400"/>
      <c r="K19" s="264"/>
    </row>
    <row r="20" spans="1:11" ht="12.75">
      <c r="A20" s="457" t="s">
        <v>381</v>
      </c>
      <c r="B20" s="458">
        <v>6276557.43</v>
      </c>
      <c r="C20" s="459">
        <f>B20/'- 13 -'!$J$52</f>
        <v>0.004657935495532299</v>
      </c>
      <c r="D20" s="458">
        <v>12451</v>
      </c>
      <c r="E20" s="459">
        <f>D20/'- 13 -'!$J$52</f>
        <v>9.24008989030674E-06</v>
      </c>
      <c r="F20" s="458">
        <v>4276</v>
      </c>
      <c r="G20" s="459">
        <f>F20/'- 13 -'!$J$52</f>
        <v>3.173289243510692E-06</v>
      </c>
      <c r="H20" s="458">
        <v>19989</v>
      </c>
      <c r="I20" s="459">
        <f>H20/'- 13 -'!$J$52</f>
        <v>1.4834162462239295E-05</v>
      </c>
      <c r="J20" s="458">
        <v>551779</v>
      </c>
      <c r="K20" s="459">
        <f>J20/'- 13 -'!$J$52</f>
        <v>0.0004094841827631165</v>
      </c>
    </row>
    <row r="21" spans="1:11" ht="12.75" customHeight="1">
      <c r="A21" s="463" t="s">
        <v>382</v>
      </c>
      <c r="B21" s="463">
        <f>SUM(B13:B20)</f>
        <v>668395315.3999997</v>
      </c>
      <c r="C21" s="464">
        <f>B21/'- 13 -'!$J$52</f>
        <v>0.4960270497595312</v>
      </c>
      <c r="D21" s="463">
        <f>SUM(D13:D20)</f>
        <v>164816194.64</v>
      </c>
      <c r="E21" s="464">
        <f>D21/'- 13 -'!$J$52</f>
        <v>0.12231278241521902</v>
      </c>
      <c r="F21" s="463">
        <f>SUM(F13:F20)</f>
        <v>4707098.02</v>
      </c>
      <c r="G21" s="464">
        <f>F21/'- 13 -'!$J$52</f>
        <v>0.0034932141054762568</v>
      </c>
      <c r="H21" s="463">
        <f>SUM(H13:H20)</f>
        <v>7257381.56</v>
      </c>
      <c r="I21" s="464">
        <f>H21/'- 13 -'!$J$52</f>
        <v>0.005385821057156418</v>
      </c>
      <c r="J21" s="463">
        <f>SUM(J13:J20)</f>
        <v>30428749.4</v>
      </c>
      <c r="K21" s="464">
        <f>J21/'- 13 -'!$J$52</f>
        <v>0.02258167052490702</v>
      </c>
    </row>
    <row r="22" spans="1:11" ht="12.75">
      <c r="A22" s="465" t="s">
        <v>212</v>
      </c>
      <c r="B22" s="463">
        <v>44820950.19999999</v>
      </c>
      <c r="C22" s="464">
        <f>B22/'- 13 -'!$J$52</f>
        <v>0.03326235714536678</v>
      </c>
      <c r="D22" s="463">
        <v>15209923.290000001</v>
      </c>
      <c r="E22" s="464">
        <f>D22/'- 13 -'!$J$52</f>
        <v>0.011287531798592087</v>
      </c>
      <c r="F22" s="463">
        <v>319421</v>
      </c>
      <c r="G22" s="464">
        <f>F22/'- 13 -'!$J$52</f>
        <v>0.00023704752653213955</v>
      </c>
      <c r="H22" s="463">
        <v>555241.83</v>
      </c>
      <c r="I22" s="464">
        <f>H22/'- 13 -'!$J$52</f>
        <v>0.00041205400530547055</v>
      </c>
      <c r="J22" s="463">
        <v>3528823.49</v>
      </c>
      <c r="K22" s="464">
        <f>J22/'- 13 -'!$J$52</f>
        <v>0.002618797386123681</v>
      </c>
    </row>
    <row r="23" spans="1:11" ht="12.75">
      <c r="A23" s="465" t="s">
        <v>184</v>
      </c>
      <c r="B23" s="398"/>
      <c r="C23" s="262"/>
      <c r="D23" s="398"/>
      <c r="E23" s="262"/>
      <c r="F23" s="398"/>
      <c r="G23" s="262"/>
      <c r="H23" s="398"/>
      <c r="I23" s="262"/>
      <c r="J23" s="398"/>
      <c r="K23" s="262"/>
    </row>
    <row r="24" spans="1:11" ht="12.75">
      <c r="A24" s="265" t="s">
        <v>383</v>
      </c>
      <c r="B24" s="399">
        <v>2437688.45</v>
      </c>
      <c r="C24" s="264">
        <f>B24/'- 13 -'!$J$52</f>
        <v>0.0018090483015470655</v>
      </c>
      <c r="D24" s="399">
        <v>6937065.32</v>
      </c>
      <c r="E24" s="264">
        <f>D24/'- 13 -'!$J$52</f>
        <v>0.005148109158439443</v>
      </c>
      <c r="F24" s="399">
        <v>259713</v>
      </c>
      <c r="G24" s="264">
        <f>F24/'- 13 -'!$J$52</f>
        <v>0.00019273724726377278</v>
      </c>
      <c r="H24" s="399">
        <v>680831.2</v>
      </c>
      <c r="I24" s="264">
        <f>H24/'- 13 -'!$J$52</f>
        <v>0.0005052559222653125</v>
      </c>
      <c r="J24" s="399">
        <v>3273230.42</v>
      </c>
      <c r="K24" s="264">
        <f>J24/'- 13 -'!$J$52</f>
        <v>0.0024291176060144957</v>
      </c>
    </row>
    <row r="25" spans="1:11" ht="12.75">
      <c r="A25" s="265" t="s">
        <v>384</v>
      </c>
      <c r="B25" s="399">
        <v>3706516.81</v>
      </c>
      <c r="C25" s="264">
        <f>B25/'- 13 -'!$J$52</f>
        <v>0.0027506664929991963</v>
      </c>
      <c r="D25" s="399">
        <v>198834.25</v>
      </c>
      <c r="E25" s="264">
        <f>D25/'- 13 -'!$J$52</f>
        <v>0.00014755813535231895</v>
      </c>
      <c r="F25" s="399">
        <v>56501</v>
      </c>
      <c r="G25" s="264">
        <f>F25/'- 13 -'!$J$52</f>
        <v>4.1930312335733774E-05</v>
      </c>
      <c r="H25" s="399">
        <v>48666.53</v>
      </c>
      <c r="I25" s="264">
        <f>H25/'- 13 -'!$J$52</f>
        <v>3.611622454817362E-05</v>
      </c>
      <c r="J25" s="399">
        <v>1191664.58</v>
      </c>
      <c r="K25" s="264">
        <f>J25/'- 13 -'!$J$52</f>
        <v>0.000884353693542256</v>
      </c>
    </row>
    <row r="26" spans="1:11" ht="12.75" customHeight="1">
      <c r="A26" s="265" t="s">
        <v>385</v>
      </c>
      <c r="B26" s="399"/>
      <c r="C26" s="264">
        <f>B26/'- 13 -'!$J$52</f>
        <v>0</v>
      </c>
      <c r="D26" s="399"/>
      <c r="E26" s="264">
        <f>D26/'- 13 -'!$J$52</f>
        <v>0</v>
      </c>
      <c r="F26" s="399">
        <v>52349</v>
      </c>
      <c r="G26" s="264">
        <f>F26/'- 13 -'!$J$52</f>
        <v>3.884904551181974E-05</v>
      </c>
      <c r="H26" s="399"/>
      <c r="I26" s="264">
        <f>H26/'- 13 -'!$J$52</f>
        <v>0</v>
      </c>
      <c r="J26" s="399"/>
      <c r="K26" s="264">
        <f>J26/'- 13 -'!$J$52</f>
        <v>0</v>
      </c>
    </row>
    <row r="27" spans="1:12" ht="12.75" customHeight="1">
      <c r="A27" s="265" t="s">
        <v>411</v>
      </c>
      <c r="B27" s="399">
        <v>1614018.45</v>
      </c>
      <c r="C27" s="264">
        <f>B27/'- 13 -'!$J$52</f>
        <v>0.0011977893793762393</v>
      </c>
      <c r="D27" s="399">
        <v>1191148.79</v>
      </c>
      <c r="E27" s="264">
        <f>D27/'- 13 -'!$J$52</f>
        <v>0.0008839709173825483</v>
      </c>
      <c r="F27" s="399">
        <v>85354</v>
      </c>
      <c r="G27" s="264">
        <f>F27/'- 13 -'!$J$52</f>
        <v>6.334259356656025E-05</v>
      </c>
      <c r="H27" s="399">
        <v>61225.63</v>
      </c>
      <c r="I27" s="264">
        <f>H27/'- 13 -'!$J$52</f>
        <v>4.543653720911261E-05</v>
      </c>
      <c r="J27" s="399">
        <v>2317436.28</v>
      </c>
      <c r="K27" s="264">
        <f>J27/'- 13 -'!$J$52</f>
        <v>0.0017198072076345724</v>
      </c>
      <c r="L27" s="542" t="s">
        <v>310</v>
      </c>
    </row>
    <row r="28" spans="1:12" ht="12.75" customHeight="1">
      <c r="A28" s="265" t="s">
        <v>386</v>
      </c>
      <c r="B28" s="399"/>
      <c r="C28" s="264">
        <f>B28/'- 13 -'!$J$52</f>
        <v>0</v>
      </c>
      <c r="D28" s="399"/>
      <c r="E28" s="264">
        <f>D28/'- 13 -'!$J$52</f>
        <v>0</v>
      </c>
      <c r="F28" s="399"/>
      <c r="G28" s="264">
        <f>F28/'- 13 -'!$J$52</f>
        <v>0</v>
      </c>
      <c r="H28" s="399"/>
      <c r="I28" s="264">
        <f>H28/'- 13 -'!$J$52</f>
        <v>0</v>
      </c>
      <c r="J28" s="399"/>
      <c r="K28" s="264">
        <f>J28/'- 13 -'!$J$52</f>
        <v>0</v>
      </c>
      <c r="L28" s="543"/>
    </row>
    <row r="29" spans="1:12" ht="12.75" customHeight="1">
      <c r="A29" s="265" t="s">
        <v>387</v>
      </c>
      <c r="B29" s="399">
        <v>361103.64</v>
      </c>
      <c r="C29" s="264">
        <f>B29/'- 13 -'!$J$52</f>
        <v>0.0002679808925642089</v>
      </c>
      <c r="D29" s="399">
        <v>121510</v>
      </c>
      <c r="E29" s="264">
        <f>D29/'- 13 -'!$J$52</f>
        <v>9.017455004185785E-05</v>
      </c>
      <c r="F29" s="399">
        <v>3216</v>
      </c>
      <c r="G29" s="264">
        <f>F29/'- 13 -'!$J$52</f>
        <v>2.3866459792166475E-06</v>
      </c>
      <c r="H29" s="399">
        <v>427</v>
      </c>
      <c r="I29" s="264">
        <f>H29/'- 13 -'!$J$52</f>
        <v>3.168836545788273E-07</v>
      </c>
      <c r="J29" s="399"/>
      <c r="K29" s="264">
        <f>J29/'- 13 -'!$J$52</f>
        <v>0</v>
      </c>
      <c r="L29" s="543"/>
    </row>
    <row r="30" spans="1:11" ht="12.75" customHeight="1">
      <c r="A30" s="265" t="s">
        <v>388</v>
      </c>
      <c r="B30" s="399">
        <v>684001.33</v>
      </c>
      <c r="C30" s="264">
        <f>B30/'- 13 -'!$J$52</f>
        <v>0.0005076085273704414</v>
      </c>
      <c r="D30" s="399">
        <v>23103.28</v>
      </c>
      <c r="E30" s="264">
        <f>D30/'- 13 -'!$J$52</f>
        <v>1.7145320372735196E-05</v>
      </c>
      <c r="F30" s="399">
        <v>2487</v>
      </c>
      <c r="G30" s="264">
        <f>F30/'- 13 -'!$J$52</f>
        <v>1.8456432059427247E-06</v>
      </c>
      <c r="H30" s="399">
        <v>109463</v>
      </c>
      <c r="I30" s="264">
        <f>H30/'- 13 -'!$J$52</f>
        <v>8.123427513152733E-05</v>
      </c>
      <c r="J30" s="399">
        <v>332697</v>
      </c>
      <c r="K30" s="264">
        <f>J30/'- 13 -'!$J$52</f>
        <v>0.00024689986235927895</v>
      </c>
    </row>
    <row r="31" spans="1:11" ht="12.75">
      <c r="A31" s="265" t="s">
        <v>389</v>
      </c>
      <c r="B31" s="399"/>
      <c r="C31" s="264">
        <f>B31/'- 13 -'!$J$52</f>
        <v>0</v>
      </c>
      <c r="D31" s="399"/>
      <c r="E31" s="264">
        <f>D31/'- 13 -'!$J$52</f>
        <v>0</v>
      </c>
      <c r="F31" s="399">
        <v>1308</v>
      </c>
      <c r="G31" s="264">
        <f>F31/'- 13 -'!$J$52</f>
        <v>9.70688103487368E-07</v>
      </c>
      <c r="H31" s="399"/>
      <c r="I31" s="264">
        <f>H31/'- 13 -'!$J$52</f>
        <v>0</v>
      </c>
      <c r="J31" s="399">
        <v>866135.97</v>
      </c>
      <c r="K31" s="264">
        <f>J31/'- 13 -'!$J$52</f>
        <v>0.0006427736101540457</v>
      </c>
    </row>
    <row r="32" spans="1:11" ht="12.75">
      <c r="A32" s="265" t="s">
        <v>390</v>
      </c>
      <c r="B32" s="399">
        <v>2925311.7</v>
      </c>
      <c r="C32" s="264">
        <f>B32/'- 13 -'!$J$52</f>
        <v>0.002170921457326</v>
      </c>
      <c r="D32" s="399">
        <v>26079</v>
      </c>
      <c r="E32" s="264">
        <f>D32/'- 13 -'!$J$52</f>
        <v>1.93536506504947E-05</v>
      </c>
      <c r="F32" s="399">
        <v>104347</v>
      </c>
      <c r="G32" s="264">
        <f>F32/'- 13 -'!$J$52</f>
        <v>7.743760820687797E-05</v>
      </c>
      <c r="H32" s="399">
        <v>11825</v>
      </c>
      <c r="I32" s="264">
        <f>H32/'- 13 -'!$J$52</f>
        <v>8.775525094601013E-06</v>
      </c>
      <c r="J32" s="399">
        <v>182768.2</v>
      </c>
      <c r="K32" s="264">
        <f>J32/'- 13 -'!$J$52</f>
        <v>0.00013563525797844034</v>
      </c>
    </row>
    <row r="33" spans="1:11" ht="12.75">
      <c r="A33" s="265" t="s">
        <v>391</v>
      </c>
      <c r="B33" s="399">
        <v>3069827.98</v>
      </c>
      <c r="C33" s="264">
        <f>B33/'- 13 -'!$J$52</f>
        <v>0.0022781693424607473</v>
      </c>
      <c r="D33" s="399">
        <v>60599.73</v>
      </c>
      <c r="E33" s="264">
        <f>D33/'- 13 -'!$J$52</f>
        <v>4.4972046625035595E-05</v>
      </c>
      <c r="F33" s="399">
        <v>400984</v>
      </c>
      <c r="G33" s="264">
        <f>F33/'- 13 -'!$J$52</f>
        <v>0.000297576757254418</v>
      </c>
      <c r="H33" s="399">
        <v>22935</v>
      </c>
      <c r="I33" s="264">
        <f>H33/'- 13 -'!$J$52</f>
        <v>1.7020437043947083E-05</v>
      </c>
      <c r="J33" s="399">
        <v>103020.41</v>
      </c>
      <c r="K33" s="264">
        <f>J33/'- 13 -'!$J$52</f>
        <v>7.645312416161397E-05</v>
      </c>
    </row>
    <row r="34" spans="1:11" ht="12.75">
      <c r="A34" s="263" t="s">
        <v>392</v>
      </c>
      <c r="B34" s="399"/>
      <c r="C34" s="264">
        <f>B34/'- 13 -'!$J$52</f>
        <v>0</v>
      </c>
      <c r="D34" s="399"/>
      <c r="E34" s="264">
        <f>D34/'- 13 -'!$J$52</f>
        <v>0</v>
      </c>
      <c r="F34" s="399">
        <v>2039</v>
      </c>
      <c r="G34" s="264">
        <f>F34/'- 13 -'!$J$52</f>
        <v>1.5131751093354305E-06</v>
      </c>
      <c r="H34" s="399"/>
      <c r="I34" s="264">
        <f>H34/'- 13 -'!$J$52</f>
        <v>0</v>
      </c>
      <c r="J34" s="399"/>
      <c r="K34" s="264">
        <f>J34/'- 13 -'!$J$52</f>
        <v>0</v>
      </c>
    </row>
    <row r="35" spans="1:11" ht="12.75">
      <c r="A35" s="265" t="s">
        <v>393</v>
      </c>
      <c r="B35" s="399">
        <v>400495.96</v>
      </c>
      <c r="C35" s="264">
        <f>B35/'- 13 -'!$J$52</f>
        <v>0.00029721457482167644</v>
      </c>
      <c r="D35" s="399">
        <v>21037</v>
      </c>
      <c r="E35" s="264">
        <f>D35/'- 13 -'!$J$52</f>
        <v>1.56119003310885E-05</v>
      </c>
      <c r="F35" s="399">
        <v>10912</v>
      </c>
      <c r="G35" s="264">
        <f>F35/'- 13 -'!$J$52</f>
        <v>8.097972924506238E-06</v>
      </c>
      <c r="H35" s="399">
        <v>51157.36</v>
      </c>
      <c r="I35" s="264">
        <f>H35/'- 13 -'!$J$52</f>
        <v>3.7964710059495825E-05</v>
      </c>
      <c r="J35" s="399">
        <v>497409.55</v>
      </c>
      <c r="K35" s="264">
        <f>J35/'- 13 -'!$J$52</f>
        <v>0.00036913572839908647</v>
      </c>
    </row>
    <row r="36" spans="1:11" ht="12.75">
      <c r="A36" s="265" t="s">
        <v>394</v>
      </c>
      <c r="B36" s="399">
        <v>375277.29</v>
      </c>
      <c r="C36" s="264">
        <f>B36/'- 13 -'!$J$52</f>
        <v>0.0002784993890764365</v>
      </c>
      <c r="D36" s="399">
        <v>31549.68</v>
      </c>
      <c r="E36" s="264">
        <f>D36/'- 13 -'!$J$52</f>
        <v>2.3413531379842005E-05</v>
      </c>
      <c r="F36" s="399">
        <v>865</v>
      </c>
      <c r="G36" s="264">
        <f>F36/'- 13 -'!$J$52</f>
        <v>6.419305883154229E-07</v>
      </c>
      <c r="H36" s="399">
        <v>1792</v>
      </c>
      <c r="I36" s="264">
        <f>H36/'- 13 -'!$J$52</f>
        <v>1.3298723864291767E-06</v>
      </c>
      <c r="J36" s="399">
        <v>1536425.06</v>
      </c>
      <c r="K36" s="264">
        <f>J36/'- 13 -'!$J$52</f>
        <v>0.0011402060608882764</v>
      </c>
    </row>
    <row r="37" spans="1:11" ht="12.75">
      <c r="A37" s="413" t="s">
        <v>395</v>
      </c>
      <c r="B37" s="399">
        <v>362416.55</v>
      </c>
      <c r="C37" s="264">
        <f>B37/'- 13 -'!$J$52</f>
        <v>0.00026895522445866577</v>
      </c>
      <c r="D37" s="399">
        <v>141148.32</v>
      </c>
      <c r="E37" s="264">
        <f>D37/'- 13 -'!$J$52</f>
        <v>0.00010474846716454749</v>
      </c>
      <c r="F37" s="399">
        <v>12079</v>
      </c>
      <c r="G37" s="264">
        <f>F37/'- 13 -'!$J$52</f>
        <v>8.964022631516757E-06</v>
      </c>
      <c r="H37" s="399">
        <v>9618</v>
      </c>
      <c r="I37" s="264">
        <f>H37/'- 13 -'!$J$52</f>
        <v>7.137674449037847E-06</v>
      </c>
      <c r="J37" s="399">
        <v>623929.37</v>
      </c>
      <c r="K37" s="264">
        <f>J37/'- 13 -'!$J$52</f>
        <v>0.0004630281474582326</v>
      </c>
    </row>
    <row r="38" spans="1:11" ht="12.75">
      <c r="A38" s="460" t="s">
        <v>396</v>
      </c>
      <c r="B38" s="458">
        <v>3051797.79</v>
      </c>
      <c r="C38" s="459">
        <f>B38/'- 13 -'!$J$52</f>
        <v>0.0022647888448027835</v>
      </c>
      <c r="D38" s="458">
        <v>15533.74</v>
      </c>
      <c r="E38" s="459">
        <f>D38/'- 13 -'!$J$52</f>
        <v>1.152784145310846E-05</v>
      </c>
      <c r="F38" s="458">
        <v>18808</v>
      </c>
      <c r="G38" s="459">
        <f>F38/'- 13 -'!$J$52</f>
        <v>1.3957723127209798E-05</v>
      </c>
      <c r="H38" s="458">
        <v>3706</v>
      </c>
      <c r="I38" s="459">
        <f>H38/'- 13 -'!$J$52</f>
        <v>2.7502829598808756E-06</v>
      </c>
      <c r="J38" s="458">
        <v>756523.29</v>
      </c>
      <c r="K38" s="459">
        <f>J38/'- 13 -'!$J$52</f>
        <v>0.0005614282550566698</v>
      </c>
    </row>
    <row r="39" spans="1:11" ht="12.75">
      <c r="A39" s="463" t="s">
        <v>397</v>
      </c>
      <c r="B39" s="463">
        <f>SUM(B24:B38)</f>
        <v>18988455.95</v>
      </c>
      <c r="C39" s="464">
        <f>B39/'- 13 -'!$J$52</f>
        <v>0.01409164242680346</v>
      </c>
      <c r="D39" s="463">
        <f>SUM(D24:D38)</f>
        <v>8767609.11</v>
      </c>
      <c r="E39" s="464">
        <f>D39/'- 13 -'!$J$52</f>
        <v>0.006506585519193019</v>
      </c>
      <c r="F39" s="463">
        <f>SUM(F24:F38)</f>
        <v>1010962</v>
      </c>
      <c r="G39" s="464">
        <f>F39/'- 13 -'!$J$52</f>
        <v>0.0007502513658087128</v>
      </c>
      <c r="H39" s="463">
        <f>SUM(H24:H38)</f>
        <v>1001646.72</v>
      </c>
      <c r="I39" s="464">
        <f>H39/'- 13 -'!$J$52</f>
        <v>0.0007433383448020968</v>
      </c>
      <c r="J39" s="463">
        <f>SUM(J24:J38)</f>
        <v>11681240.129999999</v>
      </c>
      <c r="K39" s="464">
        <f>J39/'- 13 -'!$J$52</f>
        <v>0.008668838553646968</v>
      </c>
    </row>
    <row r="40" spans="1:11" ht="12.75">
      <c r="A40" s="465" t="s">
        <v>398</v>
      </c>
      <c r="B40" s="466"/>
      <c r="C40" s="467"/>
      <c r="D40" s="466"/>
      <c r="E40" s="467"/>
      <c r="F40" s="466"/>
      <c r="G40" s="467"/>
      <c r="H40" s="466"/>
      <c r="I40" s="467"/>
      <c r="J40" s="466"/>
      <c r="K40" s="467"/>
    </row>
    <row r="41" spans="1:11" ht="12.75">
      <c r="A41" s="265" t="s">
        <v>399</v>
      </c>
      <c r="B41" s="263">
        <v>19742625.779999997</v>
      </c>
      <c r="C41" s="264">
        <f>B41/'- 13 -'!$J$52</f>
        <v>0.014651324140863162</v>
      </c>
      <c r="D41" s="414">
        <v>1667215.94</v>
      </c>
      <c r="E41" s="264">
        <f>D41/'- 13 -'!$J$52</f>
        <v>0.001237268103136475</v>
      </c>
      <c r="F41" s="414">
        <v>136899</v>
      </c>
      <c r="G41" s="264">
        <f>F41/'- 13 -'!$J$52</f>
        <v>0.00010159497758357582</v>
      </c>
      <c r="H41" s="414">
        <v>354616.06</v>
      </c>
      <c r="I41" s="264">
        <f>H41/'- 13 -'!$J$52</f>
        <v>0.00026316635378254027</v>
      </c>
      <c r="J41" s="414">
        <v>1607502.36</v>
      </c>
      <c r="K41" s="264">
        <f>J41/'- 13 -'!$J$52</f>
        <v>0.0011929536828592265</v>
      </c>
    </row>
    <row r="42" spans="1:11" ht="12.75">
      <c r="A42" s="265" t="s">
        <v>400</v>
      </c>
      <c r="B42" s="263">
        <v>9140594.57</v>
      </c>
      <c r="C42" s="264">
        <f>B42/'- 13 -'!$J$52</f>
        <v>0.006783384103899261</v>
      </c>
      <c r="D42" s="414">
        <v>566470.94</v>
      </c>
      <c r="E42" s="264">
        <f>D42/'- 13 -'!$J$52</f>
        <v>0.0004203873107257695</v>
      </c>
      <c r="F42" s="414">
        <v>79644</v>
      </c>
      <c r="G42" s="264">
        <f>F42/'- 13 -'!$J$52</f>
        <v>5.9105109567391385E-05</v>
      </c>
      <c r="H42" s="414">
        <v>116791.44</v>
      </c>
      <c r="I42" s="264">
        <f>H42/'- 13 -'!$J$52</f>
        <v>8.667282981434154E-05</v>
      </c>
      <c r="J42" s="414">
        <v>117146.42</v>
      </c>
      <c r="K42" s="264">
        <f>J42/'- 13 -'!$J$52</f>
        <v>8.693626625392559E-05</v>
      </c>
    </row>
    <row r="43" spans="1:11" ht="12.75">
      <c r="A43" s="265" t="s">
        <v>401</v>
      </c>
      <c r="B43" s="263">
        <v>7505595.59</v>
      </c>
      <c r="C43" s="264">
        <f>B43/'- 13 -'!$J$52</f>
        <v>0.0055700247314986635</v>
      </c>
      <c r="D43" s="414">
        <v>261210.48</v>
      </c>
      <c r="E43" s="264">
        <f>D43/'- 13 -'!$J$52</f>
        <v>0.00019384855156133414</v>
      </c>
      <c r="F43" s="414">
        <v>65137</v>
      </c>
      <c r="G43" s="264">
        <f>F43/'- 13 -'!$J$52</f>
        <v>4.8339228590869025E-05</v>
      </c>
      <c r="H43" s="414">
        <v>39061</v>
      </c>
      <c r="I43" s="264">
        <f>H43/'- 13 -'!$J$52</f>
        <v>2.8987804289235532E-05</v>
      </c>
      <c r="J43" s="414">
        <v>390107.59</v>
      </c>
      <c r="K43" s="264">
        <f>J43/'- 13 -'!$J$52</f>
        <v>0.00028950519624856857</v>
      </c>
    </row>
    <row r="44" spans="1:11" ht="12.75">
      <c r="A44" s="265" t="s">
        <v>402</v>
      </c>
      <c r="B44" s="263">
        <v>1242</v>
      </c>
      <c r="C44" s="264">
        <f>B44/'- 13 -'!$J$52</f>
        <v>9.217084285407576E-07</v>
      </c>
      <c r="D44" s="414">
        <v>1517.3</v>
      </c>
      <c r="E44" s="264">
        <f>D44/'- 13 -'!$J$52</f>
        <v>1.126013042371088E-06</v>
      </c>
      <c r="F44" s="414">
        <v>0</v>
      </c>
      <c r="G44" s="264">
        <f>F44/'- 13 -'!$J$52</f>
        <v>0</v>
      </c>
      <c r="H44" s="414">
        <v>0</v>
      </c>
      <c r="I44" s="264">
        <f>H44/'- 13 -'!$J$52</f>
        <v>0</v>
      </c>
      <c r="J44" s="414">
        <v>140911</v>
      </c>
      <c r="K44" s="264">
        <f>J44/'- 13 -'!$J$52</f>
        <v>0.00010457234812730007</v>
      </c>
    </row>
    <row r="45" spans="1:11" ht="12.75">
      <c r="A45" s="460" t="s">
        <v>403</v>
      </c>
      <c r="B45" s="461">
        <v>15375008.19</v>
      </c>
      <c r="C45" s="459">
        <f>B45/'- 13 -'!$J$52</f>
        <v>0.011410043991631383</v>
      </c>
      <c r="D45" s="462">
        <v>341233.74</v>
      </c>
      <c r="E45" s="459">
        <f>D45/'- 13 -'!$J$52</f>
        <v>0.00025323511615175963</v>
      </c>
      <c r="F45" s="462">
        <v>229951</v>
      </c>
      <c r="G45" s="459">
        <f>F45/'- 13 -'!$J$52</f>
        <v>0.0001706503823279998</v>
      </c>
      <c r="H45" s="462">
        <v>78078.91</v>
      </c>
      <c r="I45" s="459">
        <f>H45/'- 13 -'!$J$52</f>
        <v>5.794363078766123E-05</v>
      </c>
      <c r="J45" s="462">
        <v>1052810.85</v>
      </c>
      <c r="K45" s="459">
        <f>J45/'- 13 -'!$J$52</f>
        <v>0.0007813080789888561</v>
      </c>
    </row>
    <row r="46" spans="1:11" ht="12.75">
      <c r="A46" s="463" t="s">
        <v>404</v>
      </c>
      <c r="B46" s="463">
        <f>SUM(B41:B45)</f>
        <v>51765066.129999995</v>
      </c>
      <c r="C46" s="464">
        <f>B46/'- 13 -'!$J$52</f>
        <v>0.03841569867632101</v>
      </c>
      <c r="D46" s="463">
        <f>SUM(D41:D45)</f>
        <v>2837648.3999999994</v>
      </c>
      <c r="E46" s="464">
        <f>D46/'- 13 -'!$J$52</f>
        <v>0.002105865094617709</v>
      </c>
      <c r="F46" s="463">
        <f>SUM(F41:F45)</f>
        <v>511631</v>
      </c>
      <c r="G46" s="464">
        <f>F46/'- 13 -'!$J$52</f>
        <v>0.00037968969806983604</v>
      </c>
      <c r="H46" s="463">
        <f>SUM(H41:H45)</f>
        <v>588547.41</v>
      </c>
      <c r="I46" s="464">
        <f>H46/'- 13 -'!$J$52</f>
        <v>0.00043677061867377856</v>
      </c>
      <c r="J46" s="463">
        <f>SUM(J41:J45)</f>
        <v>3308478.22</v>
      </c>
      <c r="K46" s="464">
        <f>J46/'- 13 -'!$J$52</f>
        <v>0.002455275572477877</v>
      </c>
    </row>
    <row r="47" spans="1:11" ht="12.75">
      <c r="A47" s="465" t="s">
        <v>125</v>
      </c>
      <c r="B47" s="466"/>
      <c r="C47" s="467"/>
      <c r="D47" s="466"/>
      <c r="E47" s="467"/>
      <c r="F47" s="466"/>
      <c r="G47" s="467"/>
      <c r="H47" s="466"/>
      <c r="I47" s="467"/>
      <c r="J47" s="466"/>
      <c r="K47" s="467"/>
    </row>
    <row r="48" spans="1:11" ht="18">
      <c r="A48" s="460" t="s">
        <v>538</v>
      </c>
      <c r="B48" s="461"/>
      <c r="C48" s="459"/>
      <c r="D48" s="461"/>
      <c r="E48" s="459"/>
      <c r="F48" s="462">
        <v>64033</v>
      </c>
      <c r="G48" s="459"/>
      <c r="H48" s="461"/>
      <c r="I48" s="459"/>
      <c r="J48" s="462">
        <v>-64033</v>
      </c>
      <c r="K48" s="459"/>
    </row>
    <row r="49" spans="1:11" ht="12.75">
      <c r="A49" s="463" t="s">
        <v>407</v>
      </c>
      <c r="B49" s="463"/>
      <c r="C49" s="464"/>
      <c r="D49" s="463"/>
      <c r="E49" s="464"/>
      <c r="F49" s="463">
        <f>F48</f>
        <v>64033</v>
      </c>
      <c r="G49" s="464"/>
      <c r="H49" s="463"/>
      <c r="I49" s="464"/>
      <c r="J49" s="463">
        <f>J48</f>
        <v>-64033</v>
      </c>
      <c r="K49" s="464"/>
    </row>
    <row r="50" spans="1:11" ht="4.5" customHeight="1">
      <c r="A50" s="324"/>
      <c r="B50" s="453"/>
      <c r="C50" s="188"/>
      <c r="D50" s="124"/>
      <c r="E50" s="188"/>
      <c r="F50" s="124"/>
      <c r="G50" s="188"/>
      <c r="H50" s="124"/>
      <c r="I50" s="188"/>
      <c r="J50" s="124"/>
      <c r="K50" s="188"/>
    </row>
    <row r="51" spans="1:11" ht="12.75">
      <c r="A51" s="411" t="s">
        <v>408</v>
      </c>
      <c r="B51" s="411">
        <f>SUM(B49,B46,B39,B22,B21)</f>
        <v>783969787.6799997</v>
      </c>
      <c r="C51" s="412">
        <f>B51/'- 13 -'!$J$52</f>
        <v>0.5817967480080225</v>
      </c>
      <c r="D51" s="411">
        <f>SUM(D49,D46,D39,D22,D21)</f>
        <v>191631375.44</v>
      </c>
      <c r="E51" s="412">
        <f>D51/'- 13 -'!$J$52</f>
        <v>0.14221276482762185</v>
      </c>
      <c r="F51" s="411">
        <f>SUM(F49,F46,F39,F22,F21)</f>
        <v>6613145.02</v>
      </c>
      <c r="G51" s="412">
        <f>F51/'- 13 -'!$J$52</f>
        <v>0.004907722628096889</v>
      </c>
      <c r="H51" s="411">
        <f>SUM(H49,H46,H39,H22,H21)</f>
        <v>9402817.52</v>
      </c>
      <c r="I51" s="412">
        <f>H51/'- 13 -'!$J$52</f>
        <v>0.0069779840259377645</v>
      </c>
      <c r="J51" s="411">
        <f>SUM(J49,J46,J39,J22,J21)</f>
        <v>48883258.239999995</v>
      </c>
      <c r="K51" s="412">
        <f>J51/'- 13 -'!$J$52</f>
        <v>0.0362770621049456</v>
      </c>
    </row>
    <row r="52" ht="15">
      <c r="A52" s="406" t="s">
        <v>539</v>
      </c>
    </row>
  </sheetData>
  <mergeCells count="1">
    <mergeCell ref="L27:L29"/>
  </mergeCells>
  <printOptions verticalCentered="1"/>
  <pageMargins left="0.8" right="0" top="0.5" bottom="0.5" header="0" footer="0"/>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chanderson</cp:lastModifiedBy>
  <cp:lastPrinted>2004-08-27T20:59:00Z</cp:lastPrinted>
  <dcterms:created xsi:type="dcterms:W3CDTF">1999-01-19T20:49:35Z</dcterms:created>
  <dcterms:modified xsi:type="dcterms:W3CDTF">2004-08-27T21:02:10Z</dcterms:modified>
  <cp:category/>
  <cp:version/>
  <cp:contentType/>
  <cp:contentStatus/>
</cp:coreProperties>
</file>