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895" windowWidth="11970" windowHeight="294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5 -" sheetId="40" r:id="rId40"/>
    <sheet name="- 48 -" sheetId="41" r:id="rId41"/>
    <sheet name="- 49 -" sheetId="42" r:id="rId42"/>
    <sheet name="- 50 -" sheetId="43" r:id="rId43"/>
    <sheet name="- 51 -" sheetId="44" r:id="rId44"/>
    <sheet name="- 53 -" sheetId="45" r:id="rId45"/>
    <sheet name="- 55 -" sheetId="46" r:id="rId46"/>
    <sheet name="- 56 -" sheetId="47" r:id="rId47"/>
    <sheet name="- 57 -" sheetId="48" r:id="rId48"/>
    <sheet name="- 58 -" sheetId="49" r:id="rId49"/>
    <sheet name="- 59 -" sheetId="50" r:id="rId50"/>
    <sheet name="- 60 -" sheetId="51" r:id="rId51"/>
    <sheet name="- 61 -" sheetId="52" r:id="rId52"/>
  </sheets>
  <definedNames>
    <definedName name="_Fill" hidden="1">#REF!</definedName>
    <definedName name="capyear">'- 48 -'!$C$3</definedName>
    <definedName name="HTML_CodePage" hidden="1">1252</definedName>
    <definedName name="HTML_Control" localSheetId="18" hidden="1">{"'- 4 -'!$A$1:$G$76","'-3 -'!$A$1:$G$77"}</definedName>
    <definedName name="HTML_Control" localSheetId="39" hidden="1">{"'- 4 -'!$A$1:$G$76","'-3 -'!$A$1:$G$77"}</definedName>
    <definedName name="HTML_Control" localSheetId="47" hidden="1">{"'- 4 -'!$A$1:$G$76","'-3 -'!$A$1:$G$77"}</definedName>
    <definedName name="HTML_Control" localSheetId="51"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'- 10 -'!$A$1:$K$43</definedName>
    <definedName name="_xlnm.Print_Area" localSheetId="8">'- 12 -'!$A$2:$M$56</definedName>
    <definedName name="_xlnm.Print_Area" localSheetId="9">'- 13 -'!$A$2:$M$54</definedName>
    <definedName name="_xlnm.Print_Area" localSheetId="10">'- 15 -'!$A$1:$J$74</definedName>
    <definedName name="_xlnm.Print_Area" localSheetId="11">'- 16 -'!$A$1:$J$74</definedName>
    <definedName name="_xlnm.Print_Area" localSheetId="12">'- 17 -'!$A$1:$K$74</definedName>
    <definedName name="_xlnm.Print_Area" localSheetId="13">'- 18 -'!$A$1:$H$74</definedName>
    <definedName name="_xlnm.Print_Area" localSheetId="14">'- 19 -'!$A$1:$K$74</definedName>
    <definedName name="_xlnm.Print_Area" localSheetId="15">'- 20 -'!$A$1:$J$74</definedName>
    <definedName name="_xlnm.Print_Area" localSheetId="16">'- 21 -'!$A$1:$K$74</definedName>
    <definedName name="_xlnm.Print_Area" localSheetId="17">'- 22 -'!$A$1:$K$74</definedName>
    <definedName name="_xlnm.Print_Area" localSheetId="18">'- 23 -'!$A$1:$G$74</definedName>
    <definedName name="_xlnm.Print_Area" localSheetId="19">'- 24 -'!$A$1:$J$74</definedName>
    <definedName name="_xlnm.Print_Area" localSheetId="20">'- 25 -'!$A$1:$K$74</definedName>
    <definedName name="_xlnm.Print_Area" localSheetId="21">'- 26 -'!$A$1:$F$74</definedName>
    <definedName name="_xlnm.Print_Area" localSheetId="22">'- 27 -'!$A$1:$K$74</definedName>
    <definedName name="_xlnm.Print_Area" localSheetId="23">'- 28 -'!$A$1:$K$74</definedName>
    <definedName name="_xlnm.Print_Area" localSheetId="24">'- 29 -'!$A$1:$F$74</definedName>
    <definedName name="_xlnm.Print_Area" localSheetId="1">'- 3 -'!$A$1:$G$75</definedName>
    <definedName name="_xlnm.Print_Area" localSheetId="25">'- 30 -'!$A$1:$H$74</definedName>
    <definedName name="_xlnm.Print_Area" localSheetId="26">'- 31 -'!$A$1:$H$74</definedName>
    <definedName name="_xlnm.Print_Area" localSheetId="27">'- 32 -'!$A$1:$H$74</definedName>
    <definedName name="_xlnm.Print_Area" localSheetId="28">'- 33 -'!$A$1:$H$74</definedName>
    <definedName name="_xlnm.Print_Area" localSheetId="29">'- 34 -'!$A$1:$H$73</definedName>
    <definedName name="_xlnm.Print_Area" localSheetId="30">'- 35 -'!$A$1:$I$74</definedName>
    <definedName name="_xlnm.Print_Area" localSheetId="31">'- 36 -'!$A$1:$F$74</definedName>
    <definedName name="_xlnm.Print_Area" localSheetId="32">'- 37 -'!$A$1:$H$74</definedName>
    <definedName name="_xlnm.Print_Area" localSheetId="33">'- 38 -'!$A$1:$K$74</definedName>
    <definedName name="_xlnm.Print_Area" localSheetId="34">'- 39 -'!$A$1:$F$74</definedName>
    <definedName name="_xlnm.Print_Area" localSheetId="2">'- 4 -'!$A$1:$F$74</definedName>
    <definedName name="_xlnm.Print_Area" localSheetId="35">'- 41 -'!$A$1:$I$74</definedName>
    <definedName name="_xlnm.Print_Area" localSheetId="36">'- 42 -'!$A$1:$H$74</definedName>
    <definedName name="_xlnm.Print_Area" localSheetId="37">'- 43 -'!$A$1:$J$74</definedName>
    <definedName name="_xlnm.Print_Area" localSheetId="38">'- 44 -'!$A$1:$J$74</definedName>
    <definedName name="_xlnm.Print_Area" localSheetId="39">'- 45 -'!$A$2:$E$74</definedName>
    <definedName name="_xlnm.Print_Area" localSheetId="40">'- 48 -'!$A$1:$H$74</definedName>
    <definedName name="_xlnm.Print_Area" localSheetId="41">'- 49 -'!$A$1:$G$74</definedName>
    <definedName name="_xlnm.Print_Area" localSheetId="42">'- 50 -'!$A$1:$F$74</definedName>
    <definedName name="_xlnm.Print_Area" localSheetId="43">'- 51 -'!$A$1:$H$74</definedName>
    <definedName name="_xlnm.Print_Area" localSheetId="44">'- 53 -'!$A$1:$H$74</definedName>
    <definedName name="_xlnm.Print_Area" localSheetId="45">'- 55 -'!$A$1:$G$74</definedName>
    <definedName name="_xlnm.Print_Area" localSheetId="46">'- 56 -'!$A$1:$G$74</definedName>
    <definedName name="_xlnm.Print_Area" localSheetId="47">'- 57 -'!$A$1:$G$74</definedName>
    <definedName name="_xlnm.Print_Area" localSheetId="48">'- 58 -'!$A$1:$G$74</definedName>
    <definedName name="_xlnm.Print_Area" localSheetId="49">'- 59 -'!$A$1:$G$74</definedName>
    <definedName name="_xlnm.Print_Area" localSheetId="3">'- 6 -'!$A$1:$I$73</definedName>
    <definedName name="_xlnm.Print_Area" localSheetId="50">'- 60 -'!$A$1:$G$74</definedName>
    <definedName name="_xlnm.Print_Area" localSheetId="51">'- 61 -'!$A$1:$J$73</definedName>
    <definedName name="_xlnm.Print_Area" localSheetId="4">'- 7 -'!$A$1:$H$74</definedName>
    <definedName name="_xlnm.Print_Area" localSheetId="5">'- 8 -'!$A$1:$H$74</definedName>
    <definedName name="_xlnm.Print_Area" localSheetId="6">'- 9 -'!$A$1:$E$76</definedName>
    <definedName name="REVYEAR">'- 42 -'!$C$2</definedName>
    <definedName name="STATDATE">'- 6 -'!$C$3</definedName>
    <definedName name="TAXYEAR">'- 51 -'!$C$3</definedName>
    <definedName name="YEAR" localSheetId="39">'- 3 -'!$A$3</definedName>
    <definedName name="YEAR">'- 3 -'!$A$3</definedName>
  </definedNames>
  <calcPr fullCalcOnLoad="1"/>
</workbook>
</file>

<file path=xl/sharedStrings.xml><?xml version="1.0" encoding="utf-8"?>
<sst xmlns="http://schemas.openxmlformats.org/spreadsheetml/2006/main" count="3803" uniqueCount="528">
  <si>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</si>
  <si>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</si>
  <si>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</si>
  <si>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</si>
  <si>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</si>
  <si>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</si>
  <si>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</si>
  <si>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</si>
  <si>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</si>
  <si>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</si>
  <si>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</si>
  <si>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</si>
  <si>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</si>
  <si>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</si>
  <si>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</si>
  <si>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</si>
  <si>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</si>
  <si>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</si>
  <si>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</si>
  <si>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</si>
  <si>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</si>
  <si>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</si>
  <si>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</si>
  <si>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</si>
  <si>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</si>
  <si>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</si>
  <si>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</si>
  <si>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</si>
  <si>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</si>
  <si>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</si>
  <si>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</si>
  <si>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</si>
  <si>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</si>
  <si>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</si>
  <si>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</si>
  <si>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</si>
  <si>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</si>
  <si>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</si>
  <si>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</si>
  <si>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</si>
  <si>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</si>
  <si>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</si>
  <si>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</si>
  <si>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</si>
  <si>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CLASSES</t>
  </si>
  <si>
    <t>SUPPORT SERVICES</t>
  </si>
  <si>
    <t>EXTENSION &amp;</t>
  </si>
  <si>
    <t>ENGLISH AS A</t>
  </si>
  <si>
    <t>COMMUNITY SERVICES</t>
  </si>
  <si>
    <t>BOARD OF TRUSTEES</t>
  </si>
  <si>
    <t>AND ADMINISTRATION</t>
  </si>
  <si>
    <t>ADMIN. SERVICES</t>
  </si>
  <si>
    <t>INFORMATION SERVICES</t>
  </si>
  <si>
    <t>STAFF DEVELOPMENT</t>
  </si>
  <si>
    <t>AND DEVELOPMENT</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</si>
  <si>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</si>
  <si>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</si>
  <si>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</si>
  <si>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</si>
  <si>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</si>
  <si>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</si>
  <si>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</si>
  <si>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</si>
  <si>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</si>
  <si>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</si>
  <si>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</si>
  <si>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</si>
  <si>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</si>
  <si>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</si>
  <si>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</si>
  <si>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</si>
  <si>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(PROGRAM 720)</t>
  </si>
  <si>
    <t>(PROGRAMS 710, 720 AND 790)</t>
  </si>
  <si>
    <t>REPLACEMENTS</t>
  </si>
  <si>
    <t>COMMUNITY</t>
  </si>
  <si>
    <t>EXPENDITURES</t>
  </si>
  <si>
    <t>PER</t>
  </si>
  <si>
    <t>EVENING</t>
  </si>
  <si>
    <t>SECOND LANGUAGE</t>
  </si>
  <si>
    <t>&amp; RECREATION</t>
  </si>
  <si>
    <t>REGULAR</t>
  </si>
  <si>
    <t>OF TRANSPORTATION</t>
  </si>
  <si>
    <t>STUDENTS</t>
  </si>
  <si>
    <t>OTHER BUILDINGS</t>
  </si>
  <si>
    <t>GROUNDS</t>
  </si>
  <si>
    <t>DEBT SERVICES</t>
  </si>
  <si>
    <t>EDUCATION LEVY</t>
  </si>
  <si>
    <t>ENGLISH</t>
  </si>
  <si>
    <t>FRENCH</t>
  </si>
  <si>
    <t>K-S4  F.T.E.</t>
  </si>
  <si>
    <t>N-S4</t>
  </si>
  <si>
    <t>NURSERY</t>
  </si>
  <si>
    <t>K-S4</t>
  </si>
  <si>
    <t xml:space="preserve">REGULAR </t>
  </si>
  <si>
    <t>TOTAL KM.</t>
  </si>
  <si>
    <t>COST</t>
  </si>
  <si>
    <t>LOADED</t>
  </si>
  <si>
    <t>COST PER</t>
  </si>
  <si>
    <t>CONSOLIDATED</t>
  </si>
  <si>
    <t>EDUCATION</t>
  </si>
  <si>
    <t>FOR PER PUPIL</t>
  </si>
  <si>
    <t xml:space="preserve">NO. </t>
  </si>
  <si>
    <t xml:space="preserve"> DIVISION / DISTRICT</t>
  </si>
  <si>
    <t>AMOUNT</t>
  </si>
  <si>
    <t>%</t>
  </si>
  <si>
    <t>PUPIL</t>
  </si>
  <si>
    <t>LANGUAGE</t>
  </si>
  <si>
    <t>IMMERSION</t>
  </si>
  <si>
    <t>BILINGUAL</t>
  </si>
  <si>
    <t>PUPILS</t>
  </si>
  <si>
    <t>(ROUTES)</t>
  </si>
  <si>
    <t>PER KM.</t>
  </si>
  <si>
    <t>KM.</t>
  </si>
  <si>
    <t>(LOG BOOK)</t>
  </si>
  <si>
    <t xml:space="preserve">PER PUPIL </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</si>
  <si>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</si>
  <si>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</si>
  <si>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</si>
  <si>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</si>
  <si>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</si>
  <si>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</si>
  <si>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</si>
  <si>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</si>
  <si>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</si>
  <si>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</si>
  <si>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</si>
  <si>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</si>
  <si>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</si>
  <si>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</si>
  <si>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</si>
  <si>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</si>
  <si>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</si>
  <si>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</si>
  <si>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</si>
  <si>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</si>
  <si>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</si>
  <si>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</si>
  <si>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</si>
  <si>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</si>
  <si>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</si>
  <si>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</si>
  <si>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</si>
  <si>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</si>
  <si>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</si>
  <si>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</si>
  <si>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</si>
  <si>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</si>
  <si>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</si>
  <si>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</si>
  <si>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</si>
  <si>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</si>
  <si>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</si>
  <si>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</si>
  <si>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</si>
  <si>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</si>
  <si>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</si>
  <si>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</si>
  <si>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</si>
  <si>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</si>
  <si>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</si>
  <si>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</si>
  <si>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</si>
  <si>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</si>
  <si>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</si>
  <si>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</si>
  <si>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</si>
  <si>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</si>
  <si>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</si>
  <si>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</si>
  <si>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</si>
  <si>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</si>
  <si>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FINANCES ACQUIRED AND APPLIED</t>
  </si>
  <si>
    <t>PORTIONED ASSESSMENT AND EDUCATION SUPPORT LEVY</t>
  </si>
  <si>
    <t>TOTAL PORTIONED ASSESSMENT, SPECIAL LEVY AND MILL RATES</t>
  </si>
  <si>
    <t>LOCAL TAXATION AND ASSESSMENT PER ELIGIBLE PUPIL</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</si>
  <si>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</si>
  <si>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</si>
  <si>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</si>
  <si>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</si>
  <si>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</si>
  <si>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</si>
  <si>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</si>
  <si>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</si>
  <si>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</si>
  <si>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SUPPORT FOR</t>
  </si>
  <si>
    <t>LEVEL I</t>
  </si>
  <si>
    <t>UNIFORM</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</si>
  <si>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</si>
  <si>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</si>
  <si>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</si>
  <si>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</si>
  <si>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</si>
  <si>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</si>
  <si>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</si>
  <si>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</si>
  <si>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</si>
  <si>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</si>
  <si>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</si>
  <si>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</si>
  <si>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</si>
  <si>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</si>
  <si>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</si>
  <si>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</si>
  <si>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</si>
  <si>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</si>
  <si>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</si>
  <si>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</si>
  <si>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</si>
  <si>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</si>
  <si>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</si>
  <si>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</si>
  <si>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</si>
  <si>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</si>
  <si>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</si>
  <si>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</si>
  <si>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</si>
  <si>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</si>
  <si>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</si>
  <si>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</si>
  <si>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</si>
  <si>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</si>
  <si>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</si>
  <si>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</si>
  <si>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</si>
  <si>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</si>
  <si>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</si>
  <si>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</si>
  <si>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</si>
  <si>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</si>
  <si>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</si>
  <si>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</si>
  <si>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</si>
  <si>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</si>
  <si>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</si>
  <si>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</si>
  <si>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</si>
  <si>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AND TRAINING</t>
  </si>
  <si>
    <t>NATIONS</t>
  </si>
  <si>
    <t>INDIVIDUALS</t>
  </si>
  <si>
    <t>LAND</t>
  </si>
  <si>
    <t>BUILDINGS</t>
  </si>
  <si>
    <t>EQUIPMENT</t>
  </si>
  <si>
    <t>VEHICLES</t>
  </si>
  <si>
    <t>RESIDENTIAL</t>
  </si>
  <si>
    <t xml:space="preserve">OTHER  </t>
  </si>
  <si>
    <t>SPECIAL LEVY</t>
  </si>
  <si>
    <t>OTHER DIVISIONS</t>
  </si>
  <si>
    <t>L.G.D. OF PINAWA</t>
  </si>
  <si>
    <t>NOT IN ANY DIVISION</t>
  </si>
  <si>
    <t>PROVINCE - TOTAL</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</si>
  <si>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</si>
  <si>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</si>
  <si>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</si>
  <si>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</si>
  <si>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</si>
  <si>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</si>
  <si>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</si>
  <si>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</si>
  <si>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</si>
  <si>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</si>
  <si>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</si>
  <si>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</si>
  <si>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</si>
  <si>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</si>
  <si>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</si>
  <si>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</si>
  <si>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</si>
  <si>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</si>
  <si>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</si>
  <si>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</si>
  <si>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</si>
  <si>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</si>
  <si>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</si>
  <si>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</si>
  <si>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</si>
  <si>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</si>
  <si>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</si>
  <si>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</si>
  <si>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</si>
  <si>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</si>
  <si>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</si>
  <si>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</si>
  <si>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</si>
  <si>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</si>
  <si>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</si>
  <si>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</si>
  <si>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</si>
  <si>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</si>
  <si>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</si>
  <si>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</si>
  <si>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760 MINOR EQUIPMENT</t>
  </si>
  <si>
    <t>770 INVENTORY ADJUSTMENT</t>
  </si>
  <si>
    <t>780 INFORMATION TECHNOLOGY EQUIPMENT</t>
  </si>
  <si>
    <t>910 DEBT SERVICES</t>
  </si>
  <si>
    <t>970 OTHER GOVERNMENT AUTHORITIES</t>
  </si>
  <si>
    <t>980 ORGANIZATIONS AND INDIVIDUALS</t>
  </si>
  <si>
    <t xml:space="preserve">       PROVINCE</t>
  </si>
  <si>
    <t>FRAME STUDENT STATISTICS</t>
  </si>
  <si>
    <t xml:space="preserve">PAGE 1 OF 2 </t>
  </si>
  <si>
    <t>90% OR MORE OF REGULAR INSTRUCTION ENROLMENT IS IN ONE LANGUAGE PROGRAM.</t>
  </si>
  <si>
    <t>NO ONE LANGUAGE PROGRAM COMPRISES 90% OR MORE OF REGULAR INSTRUCTION ENROLMENT.</t>
  </si>
  <si>
    <t>AS REPORTED ON PAGE 4.</t>
  </si>
  <si>
    <t>NO. OF</t>
  </si>
  <si>
    <t>%  IN DUAL TRACK SCHOOLS</t>
  </si>
  <si>
    <t>F.T.E.</t>
  </si>
  <si>
    <t xml:space="preserve"> ANALYSIS OF OPERATIONS AND MAINTENANCE EXPENDITURES FOR SCHOOL BUILDINGS</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</si>
  <si>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</si>
  <si>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</si>
  <si>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</si>
  <si>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</si>
  <si>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</si>
  <si>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</si>
  <si>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</si>
  <si>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</si>
  <si>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</si>
  <si>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ANALYSIS OF  TRANSPORTATION EXPENDITURES (CONT'D)</t>
  </si>
  <si>
    <t>OPERATING FUND TRANSFERS ARE PAYMENTS TO OTHER SCHOOL DIVISIONS, ORGANIZATIONS AND INDIVIDUALS.  THESE ARE REMOVED</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</si>
  <si>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</si>
  <si>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</si>
  <si>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</si>
  <si>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ANALYSIS OF EXPENDITURE BY OBJECT</t>
  </si>
  <si>
    <t>BASED ON RECOGNIZED EXPENDITURES LESS THE UNIFORM MILL RATE AMOUNT ADJUSTED FOR MINING REVENUE.  GRANT PER</t>
  </si>
  <si>
    <t>MILL RATE AMOUNT).</t>
  </si>
  <si>
    <t>EMPLOYEE BENEFITS</t>
  </si>
  <si>
    <t>SUPPLIES &amp; MATERIALS</t>
  </si>
  <si>
    <t>OPERATIONS &amp; MAINTENANCE</t>
  </si>
  <si>
    <t>INSTRUCTIONAL &amp; PUPIL SUPPORT SERVICES</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</si>
  <si>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</si>
  <si>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</si>
  <si>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</si>
  <si>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</si>
  <si>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</si>
  <si>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</si>
  <si>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</si>
  <si>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</si>
  <si>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</si>
  <si>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DIVISIONAL</t>
  </si>
  <si>
    <t>NEEDS IN REGULAR CLASSES</t>
  </si>
  <si>
    <t>STUDENTS WITH SPECIAL</t>
  </si>
  <si>
    <t>DIVISIONAL ADMINISTRATION</t>
  </si>
  <si>
    <t xml:space="preserve"> FUNCTION 500: DIVISIONAL ADMINISTRATION</t>
  </si>
  <si>
    <r>
      <t xml:space="preserve"> FUNCTION 500: </t>
    </r>
    <r>
      <rPr>
        <b/>
        <sz val="10"/>
        <rFont val="Times New Roman"/>
        <family val="1"/>
      </rPr>
      <t>(CONT'D)</t>
    </r>
  </si>
  <si>
    <t>90% OR MORE OF REGULAR INSTRUCTION ENROLMENT IS IN ONE LANGUAGE.</t>
  </si>
  <si>
    <t>PRAIRIE SPIRIT</t>
  </si>
  <si>
    <t>390 INFORMATION TECHNOLOGY</t>
  </si>
  <si>
    <t>650 PROFESSIONAL AND STAFF DEVELOPMENT</t>
  </si>
  <si>
    <t>PRE-KINDERGARTEN</t>
  </si>
  <si>
    <t xml:space="preserve">N/A </t>
  </si>
  <si>
    <t>EDUCATION SUPPORT LEVY MILL RATES ARE 7.92 MILLS FOR URBAN AND FARM RESIDENTIAL PROPERTY AND 18.06 MILLS FOR OTHER</t>
  </si>
  <si>
    <t>PROPERTY.</t>
  </si>
  <si>
    <t>SUPPORT FOR RECOGNIZED EXPENDITURES).</t>
  </si>
  <si>
    <t>740 CURRICULAR AND MEDIA MATERIALS</t>
  </si>
  <si>
    <t>SENIOR YEARS</t>
  </si>
  <si>
    <t>EXPENDITURE</t>
  </si>
  <si>
    <t>(1)</t>
  </si>
  <si>
    <t>(2)</t>
  </si>
  <si>
    <t>(3)</t>
  </si>
  <si>
    <t>(4)</t>
  </si>
  <si>
    <t>FROM PAGE 9 (FOR MORE INFORMATION, SEE PAGE 9).</t>
  </si>
  <si>
    <t>FROM PAGE 4 (FOR MORE INFORMATION, SEE PAGE 4).</t>
  </si>
  <si>
    <t>- 10 -</t>
  </si>
  <si>
    <t>FOR FLIN FLON #46, SNOW LAKE #2309 AND MYSTERY LAKE #2355 REFLECTS NON-ASSESSED MINING PROPERTIES.  D.F.S.M. #49</t>
  </si>
  <si>
    <t>CORRESPONDS TO DATA PROVIDED IN THE CALCULATION OF SUPPORT TO SCHOOL DIVISIONS.  ASSESSMENT PER RESIDENT PUPIL</t>
  </si>
  <si>
    <t>ASSESSMENT PER RESIDENT PUPIL IS BASED ON TOTAL PORTIONED ASSESSMENT ADJUSTED FOR ALLOCATIONS TO THE D.S.F.M. AND</t>
  </si>
  <si>
    <t>ASSESSMENT PER RESIDENT PUPIL IS DERIVED ON A PRO RATA BASIS ACCORDING TO ENROLMENT WITHIN D.S.F.M. BOUNDARIES.</t>
  </si>
  <si>
    <t>PER RESIDENT</t>
  </si>
  <si>
    <t>WPG. TECHNICAL COLLEGE</t>
  </si>
  <si>
    <t>STATISTICAL SUMMARY</t>
  </si>
  <si>
    <t>FORMERLY FUNCTION 300 - TECHNOLOGY/(VOCATIONAL) EDUCATION.</t>
  </si>
  <si>
    <t>TRANSPORTED</t>
  </si>
  <si>
    <t>CURRICULAR</t>
  </si>
  <si>
    <t>INFORMATION</t>
  </si>
  <si>
    <t>EARLY</t>
  </si>
  <si>
    <t>BEHAVIOUR</t>
  </si>
  <si>
    <t>INTERVENTION</t>
  </si>
  <si>
    <t>PAGE 1 OF 5</t>
  </si>
  <si>
    <t>PAGE 2 OF 5</t>
  </si>
  <si>
    <t>PAGE 3 OF 5</t>
  </si>
  <si>
    <t>PAGE 4 OF 5</t>
  </si>
  <si>
    <t>PAGE 5 OF 5</t>
  </si>
  <si>
    <t>SUPPLEMENTARY SUPPORT PROVIDED FOR UNFUNDED EXPENDITURES ON AN EQUALIZED BASIS.</t>
  </si>
  <si>
    <t>SUPPORT FOR FUNCTION 200 EXCEPTIONAL EXPENDITURES LESS CATEGORICAL SUPPORT FOR SPECIAL NEEDS.</t>
  </si>
  <si>
    <t>ABORIGINAL</t>
  </si>
  <si>
    <t>ACADEMIC</t>
  </si>
  <si>
    <t>PROGRAMS</t>
  </si>
  <si>
    <t>LITERACY</t>
  </si>
  <si>
    <t>(Grants-</t>
  </si>
  <si>
    <t>in-Lieu)</t>
  </si>
  <si>
    <t xml:space="preserve"> INCLUDES VEHICLE SUPPORT FOR SCHOOL BUSES.</t>
  </si>
  <si>
    <t>REMOTENESS ALLOWANCE,  ETC.).</t>
  </si>
  <si>
    <r>
      <t xml:space="preserve">EXPENDITURES </t>
    </r>
    <r>
      <rPr>
        <b/>
        <vertAlign val="superscript"/>
        <sz val="10"/>
        <rFont val="Times New Roman"/>
        <family val="1"/>
      </rPr>
      <t xml:space="preserve">(1)                                                   </t>
    </r>
  </si>
  <si>
    <r>
      <t xml:space="preserve">EXPENSES </t>
    </r>
    <r>
      <rPr>
        <b/>
        <vertAlign val="superscript"/>
        <sz val="11"/>
        <rFont val="Times New Roman"/>
        <family val="1"/>
      </rPr>
      <t>(1)</t>
    </r>
  </si>
  <si>
    <r>
      <t xml:space="preserve">TRANSFERS </t>
    </r>
    <r>
      <rPr>
        <b/>
        <vertAlign val="superscript"/>
        <sz val="11"/>
        <rFont val="Times New Roman"/>
        <family val="1"/>
      </rPr>
      <t>(2)</t>
    </r>
  </si>
  <si>
    <r>
      <t>EXPENDITURES</t>
    </r>
    <r>
      <rPr>
        <b/>
        <sz val="11"/>
        <rFont val="Times New Roman"/>
        <family val="1"/>
      </rPr>
      <t xml:space="preserve"> </t>
    </r>
    <r>
      <rPr>
        <b/>
        <vertAlign val="superscript"/>
        <sz val="11"/>
        <rFont val="Times New Roman"/>
        <family val="1"/>
      </rPr>
      <t>(3)</t>
    </r>
  </si>
  <si>
    <t>FORMERLY FUNCTION 300 - TECHNOLOGY / (VOCATIONAL) EDUCATION.</t>
  </si>
  <si>
    <r>
      <t xml:space="preserve">TECHNOLOGY </t>
    </r>
    <r>
      <rPr>
        <b/>
        <vertAlign val="superscript"/>
        <sz val="11"/>
        <rFont val="Times New Roman"/>
        <family val="1"/>
      </rPr>
      <t>(1)</t>
    </r>
  </si>
  <si>
    <r>
      <t xml:space="preserve">SINGLE TRACK </t>
    </r>
    <r>
      <rPr>
        <b/>
        <vertAlign val="superscript"/>
        <sz val="11"/>
        <rFont val="Times New Roman"/>
        <family val="1"/>
      </rPr>
      <t>(1)</t>
    </r>
  </si>
  <si>
    <r>
      <t xml:space="preserve">DUAL TRACK </t>
    </r>
    <r>
      <rPr>
        <b/>
        <vertAlign val="superscript"/>
        <sz val="11"/>
        <rFont val="Times New Roman"/>
        <family val="1"/>
      </rPr>
      <t>(2)</t>
    </r>
  </si>
  <si>
    <r>
      <t xml:space="preserve">ELIGIBLE </t>
    </r>
    <r>
      <rPr>
        <b/>
        <vertAlign val="superscript"/>
        <sz val="11"/>
        <rFont val="Times New Roman"/>
        <family val="1"/>
      </rPr>
      <t>(3)</t>
    </r>
  </si>
  <si>
    <r>
      <t xml:space="preserve">FRAME </t>
    </r>
    <r>
      <rPr>
        <b/>
        <vertAlign val="superscript"/>
        <sz val="11"/>
        <rFont val="Times New Roman"/>
        <family val="1"/>
      </rPr>
      <t>(2)</t>
    </r>
  </si>
  <si>
    <r>
      <t xml:space="preserve">INSTRUCTION </t>
    </r>
    <r>
      <rPr>
        <b/>
        <vertAlign val="superscript"/>
        <sz val="11"/>
        <rFont val="Times New Roman"/>
        <family val="1"/>
      </rPr>
      <t>(1)</t>
    </r>
  </si>
  <si>
    <r>
      <t xml:space="preserve">EDUCATOR </t>
    </r>
    <r>
      <rPr>
        <b/>
        <vertAlign val="superscript"/>
        <sz val="11"/>
        <rFont val="Times New Roman"/>
        <family val="1"/>
      </rPr>
      <t>(2)</t>
    </r>
  </si>
  <si>
    <r>
      <t xml:space="preserve">HEADCOUNT </t>
    </r>
    <r>
      <rPr>
        <b/>
        <vertAlign val="superscript"/>
        <sz val="11"/>
        <rFont val="Times New Roman"/>
        <family val="1"/>
      </rPr>
      <t>(1)</t>
    </r>
  </si>
  <si>
    <r>
      <t xml:space="preserve">TECHNOLOGY EDUCATION </t>
    </r>
    <r>
      <rPr>
        <b/>
        <vertAlign val="superscript"/>
        <sz val="11"/>
        <rFont val="Times New Roman"/>
        <family val="1"/>
      </rPr>
      <t>(1)</t>
    </r>
  </si>
  <si>
    <r>
      <t xml:space="preserve">SINGLE TRACK SCHOOLS </t>
    </r>
    <r>
      <rPr>
        <b/>
        <vertAlign val="superscript"/>
        <sz val="11"/>
        <rFont val="Times New Roman"/>
        <family val="1"/>
      </rPr>
      <t>(1)</t>
    </r>
  </si>
  <si>
    <r>
      <t xml:space="preserve">DUAL TRACK SCHOOLS </t>
    </r>
    <r>
      <rPr>
        <b/>
        <vertAlign val="superscript"/>
        <sz val="11"/>
        <rFont val="Times New Roman"/>
        <family val="1"/>
      </rPr>
      <t>(1)</t>
    </r>
  </si>
  <si>
    <r>
      <t xml:space="preserve">GIFTED EDUCATION </t>
    </r>
    <r>
      <rPr>
        <b/>
        <vertAlign val="superscript"/>
        <sz val="11"/>
        <rFont val="Times New Roman"/>
        <family val="1"/>
      </rPr>
      <t>(1)</t>
    </r>
  </si>
  <si>
    <r>
      <t xml:space="preserve">  INFORMATION TECHNOLOGY EXPENDITURES </t>
    </r>
    <r>
      <rPr>
        <b/>
        <vertAlign val="superscript"/>
        <sz val="12"/>
        <rFont val="Times New Roman"/>
        <family val="1"/>
      </rPr>
      <t>(1)</t>
    </r>
  </si>
  <si>
    <r>
      <t xml:space="preserve">PROGRAM </t>
    </r>
    <r>
      <rPr>
        <b/>
        <vertAlign val="superscript"/>
        <sz val="11"/>
        <rFont val="Times New Roman"/>
        <family val="1"/>
      </rPr>
      <t>(1)</t>
    </r>
  </si>
  <si>
    <r>
      <t xml:space="preserve">REVENUE </t>
    </r>
    <r>
      <rPr>
        <b/>
        <vertAlign val="superscript"/>
        <sz val="11"/>
        <rFont val="Times New Roman"/>
        <family val="1"/>
      </rPr>
      <t>(2)</t>
    </r>
  </si>
  <si>
    <r>
      <t xml:space="preserve">REVENUE </t>
    </r>
    <r>
      <rPr>
        <b/>
        <vertAlign val="superscript"/>
        <sz val="11"/>
        <rFont val="Times New Roman"/>
        <family val="1"/>
      </rPr>
      <t>(3)</t>
    </r>
  </si>
  <si>
    <r>
      <t xml:space="preserve">EDUCATION SUPPORT LEVY </t>
    </r>
    <r>
      <rPr>
        <b/>
        <vertAlign val="superscript"/>
        <sz val="11"/>
        <rFont val="Times New Roman"/>
        <family val="1"/>
      </rPr>
      <t>(1)</t>
    </r>
  </si>
  <si>
    <r>
      <t xml:space="preserve">MILL RATE </t>
    </r>
    <r>
      <rPr>
        <b/>
        <vertAlign val="superscript"/>
        <sz val="11"/>
        <rFont val="Times New Roman"/>
        <family val="1"/>
      </rPr>
      <t>(1)</t>
    </r>
  </si>
  <si>
    <r>
      <t xml:space="preserve">RESIDENT PUPIL </t>
    </r>
    <r>
      <rPr>
        <b/>
        <vertAlign val="superscript"/>
        <sz val="11"/>
        <rFont val="Times New Roman"/>
        <family val="1"/>
      </rPr>
      <t>(1)</t>
    </r>
  </si>
  <si>
    <r>
      <t xml:space="preserve">EXPENDITURES </t>
    </r>
    <r>
      <rPr>
        <b/>
        <vertAlign val="superscript"/>
        <sz val="11"/>
        <rFont val="Times New Roman"/>
        <family val="1"/>
      </rPr>
      <t>(1)</t>
    </r>
  </si>
  <si>
    <r>
      <t xml:space="preserve">NEEDS </t>
    </r>
    <r>
      <rPr>
        <b/>
        <vertAlign val="superscript"/>
        <sz val="11"/>
        <rFont val="Times New Roman"/>
        <family val="1"/>
      </rPr>
      <t>(2)</t>
    </r>
  </si>
  <si>
    <r>
      <t xml:space="preserve">AT RISK </t>
    </r>
    <r>
      <rPr>
        <b/>
        <vertAlign val="superscript"/>
        <sz val="11"/>
        <rFont val="Times New Roman"/>
        <family val="1"/>
      </rPr>
      <t>(3)</t>
    </r>
  </si>
  <si>
    <r>
      <t xml:space="preserve">CATEGORICAL </t>
    </r>
    <r>
      <rPr>
        <b/>
        <vertAlign val="superscript"/>
        <sz val="11"/>
        <rFont val="Times New Roman"/>
        <family val="1"/>
      </rPr>
      <t>(1)</t>
    </r>
  </si>
  <si>
    <r>
      <t xml:space="preserve">SUPPORT </t>
    </r>
    <r>
      <rPr>
        <b/>
        <vertAlign val="superscript"/>
        <sz val="11"/>
        <rFont val="Times New Roman"/>
        <family val="1"/>
      </rPr>
      <t>(2)</t>
    </r>
  </si>
  <si>
    <r>
      <t xml:space="preserve">AMOUNT </t>
    </r>
    <r>
      <rPr>
        <b/>
        <vertAlign val="superscript"/>
        <sz val="11"/>
        <rFont val="Times New Roman"/>
        <family val="1"/>
      </rPr>
      <t>(3)</t>
    </r>
  </si>
  <si>
    <r>
      <t xml:space="preserve">PER PUPIL </t>
    </r>
    <r>
      <rPr>
        <b/>
        <vertAlign val="superscript"/>
        <sz val="11"/>
        <rFont val="Times New Roman"/>
        <family val="1"/>
      </rPr>
      <t>(1)</t>
    </r>
  </si>
  <si>
    <t>AND SERVICES</t>
  </si>
  <si>
    <t>ADULT LEARNING</t>
  </si>
  <si>
    <t>PAGE 1 OF 17</t>
  </si>
  <si>
    <t>PAGE 2 OF 17</t>
  </si>
  <si>
    <t>PAGE 3 OF 17</t>
  </si>
  <si>
    <t>PAGE 4 OF 17</t>
  </si>
  <si>
    <t>PAGE 5 OF 17</t>
  </si>
  <si>
    <t>PAGE 7 OF 17</t>
  </si>
  <si>
    <t>PAGE 8 OF 17</t>
  </si>
  <si>
    <t>PAGE 17 OF 17</t>
  </si>
  <si>
    <t>PAGE 16 OF 17</t>
  </si>
  <si>
    <t>PAGE 15 OF 17</t>
  </si>
  <si>
    <t>PAGE 14 OF 17</t>
  </si>
  <si>
    <t>PAGE 13 OF 17</t>
  </si>
  <si>
    <t>PAGE 12 OF 17</t>
  </si>
  <si>
    <t>PAGE 11 OF 17</t>
  </si>
  <si>
    <t>PAGE 10 OF 17</t>
  </si>
  <si>
    <t>PAGE 9 OF 17</t>
  </si>
  <si>
    <t>NON K-S4</t>
  </si>
  <si>
    <r>
      <t xml:space="preserve">&amp; SERVICES </t>
    </r>
    <r>
      <rPr>
        <b/>
        <vertAlign val="superscript"/>
        <sz val="11"/>
        <rFont val="Times New Roman"/>
        <family val="1"/>
      </rPr>
      <t>(4)</t>
    </r>
  </si>
  <si>
    <r>
      <t xml:space="preserve">COSTS </t>
    </r>
    <r>
      <rPr>
        <b/>
        <vertAlign val="superscript"/>
        <sz val="11"/>
        <rFont val="Times New Roman"/>
        <family val="1"/>
      </rPr>
      <t>(5)</t>
    </r>
  </si>
  <si>
    <t>(5)</t>
  </si>
  <si>
    <t>EXPENDITURES FOR ADULT LEARNING CENTRES AND COMMUNITY EDUCATION AND SERVICES (FUNCTIONS 300 AND 400).</t>
  </si>
  <si>
    <t>INCLUDES OTHER MISCELLANEOUS SUPPORT (INSTITUTIONAL PROGRAMS, ADULT LEARNING CENTRES, GENERAL SUPPORT GRANT, ETC.).</t>
  </si>
  <si>
    <t>ADULT LEARNING CENTRES</t>
  </si>
  <si>
    <t>THE TOTAL NUMBER OF PUPILS ENROLLED IN SCHOOLS ADJUSTED FOR FULL TIME EQUIVALENCE (F.T.E.).  FULL TIME EQUIVALENT</t>
  </si>
  <si>
    <t>MEANS PUPILS ARE COUNTED ON THE BASIS OF TIME ATTENDING SCHOOL - EG. KINDERGARTEN AS 1/2.  THIS TOTAL IS THE SAME AS</t>
  </si>
  <si>
    <t>INCLUDES SCHOOL BUILDINGS "D" SUPPORT, ENVIRONMENTAL ASSISTANCE PROGRAM, VOCATIONAL EQUIPMENT AND AIR QUALITY</t>
  </si>
  <si>
    <t>PROGRAM.</t>
  </si>
  <si>
    <t>SEE APPENDIX A FOR MORE DETAIL.</t>
  </si>
  <si>
    <t>ACHIEVEMENT</t>
  </si>
  <si>
    <t>SUPPLEMENTARY</t>
  </si>
  <si>
    <r>
      <t xml:space="preserve">SUPPORT </t>
    </r>
    <r>
      <rPr>
        <b/>
        <vertAlign val="superscript"/>
        <sz val="11"/>
        <rFont val="Times New Roman"/>
        <family val="1"/>
      </rPr>
      <t>(1)</t>
    </r>
  </si>
  <si>
    <t>AND OTHER</t>
  </si>
  <si>
    <t>PROVIDE MORE ACCURATE PER PUPIL COSTS.    ALSO EXCLUDED ARE EXPENDITURES ON EDUCATIONAL SERVICES NOT PROVIDED TO</t>
  </si>
  <si>
    <t>K-S4 PUPILS - E.G. FUNCTION 400 (COMMUNITY EDUCATION AND SERVICES) AND FOR 2001/02, FUNCTION 300 (ADULT LEARNING CENTRES)</t>
  </si>
  <si>
    <t>AS WELL.</t>
  </si>
  <si>
    <t>OPERATING FUND TRANSFERS (I.E. PAYMENTS TO OTHER SCHOOL DIVISIONS, ORGANIZATIONS AND INDIVIDUALS) ARE EXCLUDED TO</t>
  </si>
  <si>
    <t>BASED ON TOTAL INSTRUCTIONAL-TEACHING (EXCLUDING COMMUNITY EDUCATION AND ADULT LEARNING CENTRES) AS WELL AS</t>
  </si>
  <si>
    <t>SCHOOL-BASED ADMINISTRATIVE STAFF - EG. DEPARTMENT HEADS, COORDINATORS, PRINCIPALS AND VICE-PRINCIPALS - AND K-S4</t>
  </si>
  <si>
    <t>ENROLMENT.  DIVISION ADMINISTRATORS (FUNCTION 500) ARE EXCLUDED.  WHILE THIS DEFINITION IS CONSISTENT WITH STATISTICS</t>
  </si>
  <si>
    <t>CANADA, THE PROVINCIAL RATIO MAY NOT AGREE EXACTLY DUE TO DIFFERENT DATA SOURCES.</t>
  </si>
  <si>
    <t>SEE EXPLANATORY NOTE 10 ON PAGE vii AND EXPENDITURE DEFINITION ON PAGE ii.</t>
  </si>
  <si>
    <r>
      <t xml:space="preserve">ADULT LEARNING CENTRES </t>
    </r>
    <r>
      <rPr>
        <b/>
        <vertAlign val="superscript"/>
        <sz val="11"/>
        <rFont val="Times New Roman"/>
        <family val="1"/>
      </rPr>
      <t>(2)</t>
    </r>
  </si>
  <si>
    <t>- 13 -</t>
  </si>
  <si>
    <t>- 12 -</t>
  </si>
  <si>
    <r>
      <t xml:space="preserve">CENTRES </t>
    </r>
    <r>
      <rPr>
        <b/>
        <vertAlign val="superscript"/>
        <sz val="11"/>
        <rFont val="Times New Roman"/>
        <family val="1"/>
      </rPr>
      <t>(1)</t>
    </r>
  </si>
  <si>
    <r>
      <t xml:space="preserve"> FUNCTION 300: ADULT LEARNING CENTRES </t>
    </r>
    <r>
      <rPr>
        <b/>
        <vertAlign val="superscript"/>
        <sz val="13"/>
        <rFont val="Times New Roman"/>
        <family val="1"/>
      </rPr>
      <t>(1)</t>
    </r>
  </si>
  <si>
    <t>(COMMUNITY EDUCATION AND SERVICES).</t>
  </si>
  <si>
    <t>EDUCATION AND SERVICES).</t>
  </si>
  <si>
    <t>EXCLUDES INFORMATION TECHNOLOGY EXPENDITURES IN FUNCTION 300 (ADULT LEARNING CENTRES) AND FUNCTION 400 (COMMUNITY</t>
  </si>
  <si>
    <t>EXCLUDES INFORMATION TECHNOLOGY EXPENDITURES IN FUNCTION 300 (ADULT LEARNING CENTRES) AND FUNCTION 400</t>
  </si>
  <si>
    <t>ALL OTHER CATEGORICAL SUPPORT NOT SHOWN ELSEWHERE (EG. HERITAGE LANGUAGE, ENGLISH AS A SECOND LANGUAGE,</t>
  </si>
  <si>
    <t xml:space="preserve">LIBRARY / </t>
  </si>
  <si>
    <r>
      <t xml:space="preserve">MEDIA CENTRE </t>
    </r>
    <r>
      <rPr>
        <b/>
        <vertAlign val="superscript"/>
        <sz val="11"/>
        <rFont val="Times New Roman"/>
        <family val="1"/>
      </rPr>
      <t>(1)</t>
    </r>
  </si>
  <si>
    <t>FORMERLY EDUCATIONAL MEDIA (NOTE: EXPENDITURES ARE COMPARABLE TO PREVIOUS YEARS, ONLY THE NAME HAS CHANGED)</t>
  </si>
  <si>
    <t>OPERATING FUND ACTUAL 2001/2002</t>
  </si>
  <si>
    <t>2001/2002 ACTUAL</t>
  </si>
  <si>
    <t>2000/2001 ACTUAL</t>
  </si>
  <si>
    <t>PUPIL / EDUCATOR</t>
  </si>
  <si>
    <t>2000/01</t>
  </si>
  <si>
    <t>2001/02</t>
  </si>
  <si>
    <t>TO PROVIDE MORE ACCURATE PER PUPIL COSTS.</t>
  </si>
  <si>
    <t>AS REPORTED ON PAGES 10 AND 13 (ON A PROVINCIAL BASIS).</t>
  </si>
  <si>
    <t>TOTAL OPERATING EXPENDITURES AS REPORTED ON THE INCOME STATEMENT OF SCHOOL DIVISIONS' FINANCIAL STATEMENTS.</t>
  </si>
  <si>
    <t>REPORTED ON PAGE 7.</t>
  </si>
  <si>
    <t>OPERATING FUND - ACCUMULATED SURPLUS/(DEFICIT)</t>
  </si>
  <si>
    <t>ACCUMULATED SURPLUS/</t>
  </si>
  <si>
    <t>WPG TECHNICAL COLLEGE</t>
  </si>
  <si>
    <t>SCHOOL DIVISIONS/DISTRICTS MAY HAVE SET ASIDE SOME OR ALL OF THEIR SURPLUSES FOR SPECIFIC PURPOSES.  FOR FURTHER</t>
  </si>
  <si>
    <t>INFORMATION, PLEASE REFER TO THE SCHOOL DIVISIONS' FINANCIAL STATEMENTS.</t>
  </si>
  <si>
    <t>OPERATING EXPENDITURES INCLUDE TRANSFERS TO OTHER SCHOOL DIVISIONS, ORGANIZATIONS AND INDIVIDUALS BUT NOT</t>
  </si>
  <si>
    <t>NET TRANSFERS TO CAPITAL.  THESE ARE THE AMOUNTS REPORTED AS TOTAL EXPENSES ON PAGE 3.</t>
  </si>
  <si>
    <r>
      <t xml:space="preserve">(DEFICIT) AT YEAR END </t>
    </r>
    <r>
      <rPr>
        <b/>
        <vertAlign val="superscript"/>
        <sz val="11"/>
        <rFont val="Times New Roman"/>
        <family val="1"/>
      </rPr>
      <t>(1)</t>
    </r>
  </si>
  <si>
    <r>
      <t xml:space="preserve">EXPENDITURES </t>
    </r>
    <r>
      <rPr>
        <b/>
        <vertAlign val="superscript"/>
        <sz val="11"/>
        <rFont val="Times New Roman"/>
        <family val="1"/>
      </rPr>
      <t>(2)</t>
    </r>
  </si>
  <si>
    <t>PUPILS TAUGHT IN SCHOOLS, WHETHER OR NOT THEY ARE COUNTED FOR GRANT PURPOSES</t>
  </si>
  <si>
    <t>June 30 / 02</t>
  </si>
  <si>
    <r>
      <t xml:space="preserve">SQ. FT. </t>
    </r>
    <r>
      <rPr>
        <b/>
        <vertAlign val="superscript"/>
        <sz val="11"/>
        <rFont val="Times New Roman"/>
        <family val="1"/>
      </rPr>
      <t>(1)</t>
    </r>
  </si>
  <si>
    <t>HEALTH AND EDUCATION SUPPORT LEVY.</t>
  </si>
  <si>
    <t>AREA</t>
  </si>
  <si>
    <t>SQ. FT. PER</t>
  </si>
  <si>
    <t>incl. Rent/Lease</t>
  </si>
  <si>
    <r>
      <t xml:space="preserve">PUPIL </t>
    </r>
    <r>
      <rPr>
        <b/>
        <vertAlign val="superscript"/>
        <sz val="11"/>
        <rFont val="Times New Roman"/>
        <family val="1"/>
      </rPr>
      <t>(2)</t>
    </r>
  </si>
  <si>
    <t>SQUARE FOOTAGE (AS PER NOTE ABOVE) DIVIDED BY TOTAL F.T.E. ENROLMENT (FROM PAGE 7).</t>
  </si>
  <si>
    <t>BASED ON AREA (SQUARE FOOTAGE) OF ACTIVE SCHOOL BUILDINGS, INCLUDING RENTED AND LEASED SPACE, AS AT JUNE 30, 2002.</t>
  </si>
  <si>
    <t>ELIGIBLE PUPIL IS THE BASIS FOR THE PINE FALLS AND WHITESHELL SPECIAL REVENUE DISTRICTS.  (PLEASE SEE PAGE 60 FOR UNIFORM</t>
  </si>
  <si>
    <t>FROM PAGE 53 (FOR MORE INFORMATION, SEE PAGE 53).</t>
  </si>
  <si>
    <t>FROM PAGE 55 (FOR MORE INFORMATION, SEE PAGE 55).</t>
  </si>
  <si>
    <r>
      <t xml:space="preserve">2001/02 </t>
    </r>
    <r>
      <rPr>
        <b/>
        <vertAlign val="superscript"/>
        <sz val="12"/>
        <rFont val="Times New Roman"/>
        <family val="1"/>
      </rPr>
      <t>(2)</t>
    </r>
  </si>
  <si>
    <t>RATIO</t>
  </si>
  <si>
    <t>PROVINCIALLY SUPPORTED PUPILS (ACTUAL SEPTEMBER, 2000 FOR 2001/02 AND ACTUAL SEPTEMBER, 1999 FOR 2000/01).</t>
  </si>
  <si>
    <t>SCHOOLS</t>
  </si>
  <si>
    <t>2000</t>
  </si>
  <si>
    <r>
      <t xml:space="preserve">2001 </t>
    </r>
    <r>
      <rPr>
        <b/>
        <vertAlign val="superscript"/>
        <sz val="12"/>
        <rFont val="Times New Roman"/>
        <family val="1"/>
      </rPr>
      <t>(4)</t>
    </r>
  </si>
  <si>
    <r>
      <t xml:space="preserve">2001 </t>
    </r>
    <r>
      <rPr>
        <b/>
        <vertAlign val="superscript"/>
        <sz val="12"/>
        <rFont val="Times New Roman"/>
        <family val="1"/>
      </rPr>
      <t>(3)</t>
    </r>
  </si>
  <si>
    <t>SCHOOLS FINANCE PROGRAM (CONT'D)</t>
  </si>
  <si>
    <t>SCHOOLS FINANCE PROGRAM</t>
  </si>
  <si>
    <t>EDUCATION AND YOUTH</t>
  </si>
  <si>
    <t>PROVINCIAL GOVERNMENT: EDUCATION AND YOUTH</t>
  </si>
  <si>
    <t>SCHOOLS FINANCE</t>
  </si>
  <si>
    <t>INCLUDES SUPPORT FOR COORDINATORS, CLINICIANS AND LEVEL II AND III PUPILS.  NOTE: TOTAL SPECIAL NEEDS SUPPORT IS $102,616,314.</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</si>
  <si>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</si>
  <si>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</si>
  <si>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</si>
  <si>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</si>
  <si>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FRAME Report: 2001/02 Actual</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</si>
  <si>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Youth's web site remain the final authority.</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</si>
</sst>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0_ ;\(#,##0.0\)"/>
    <numFmt numFmtId="193" formatCode="#,##0.00_ ;\(#,##0.00\)"/>
    <numFmt numFmtId="194" formatCode="#,##0.0;\-#,##0.0"/>
  </numFmts>
  <fonts count="23">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sz val="11"/>
      <name val="Arial"/>
      <family val="2"/>
    </font>
    <font>
      <b/>
      <sz val="12"/>
      <name val="Times New Roman"/>
      <family val="1"/>
    </font>
    <font>
      <b/>
      <sz val="11"/>
      <name val="Arial"/>
      <family val="2"/>
    </font>
    <font>
      <b/>
      <sz val="13"/>
      <name val="Times New Roman"/>
      <family val="1"/>
    </font>
    <font>
      <sz val="12"/>
      <name val="Times New Roman"/>
      <family val="1"/>
    </font>
    <font>
      <b/>
      <vertAlign val="superscript"/>
      <sz val="10"/>
      <name val="Times New Roman"/>
      <family val="1"/>
    </font>
    <font>
      <b/>
      <vertAlign val="superscript"/>
      <sz val="11"/>
      <name val="Times New Roman"/>
      <family val="1"/>
    </font>
    <font>
      <vertAlign val="superscript"/>
      <sz val="11"/>
      <name val="Times New Roman"/>
      <family val="1"/>
    </font>
    <font>
      <b/>
      <vertAlign val="superscript"/>
      <sz val="12"/>
      <name val="Times New Roman"/>
      <family val="1"/>
    </font>
    <font>
      <sz val="11"/>
      <name val="Times New Roman"/>
      <family val="1"/>
    </font>
    <font>
      <b/>
      <vertAlign val="superscript"/>
      <sz val="13"/>
      <name val="Times New Roman"/>
      <family val="1"/>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gray125">
        <fgColor indexed="8"/>
        <bgColor indexed="9"/>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s>
  <borders count="34">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
      <left style="double"/>
      <right style="double"/>
      <top style="thin">
        <color indexed="8"/>
      </top>
      <bottom style="thin">
        <color indexed="8"/>
      </bottom>
    </border>
    <border>
      <left style="double"/>
      <right style="double"/>
      <top style="thin">
        <color indexed="8"/>
      </top>
      <bottom>
        <color indexed="63"/>
      </bottom>
    </border>
    <border>
      <left style="double"/>
      <right style="double"/>
      <top>
        <color indexed="63"/>
      </top>
      <bottom style="thin">
        <color indexed="8"/>
      </bottom>
    </border>
    <border>
      <left>
        <color indexed="63"/>
      </left>
      <right style="double">
        <color indexed="8"/>
      </right>
      <top style="thin">
        <color indexed="8"/>
      </top>
      <bottom style="thin">
        <color indexed="8"/>
      </bottom>
    </border>
    <border>
      <left style="double">
        <color indexed="8"/>
      </left>
      <right style="double">
        <color indexed="8"/>
      </right>
      <top>
        <color indexed="63"/>
      </top>
      <bottom>
        <color indexed="63"/>
      </bottom>
    </border>
    <border>
      <left style="double">
        <color indexed="8"/>
      </left>
      <right style="double">
        <color indexed="8"/>
      </right>
      <top style="thin">
        <color indexed="8"/>
      </top>
      <bottom style="thin">
        <color indexed="8"/>
      </bottom>
    </border>
    <border>
      <left style="thin"/>
      <right>
        <color indexed="63"/>
      </right>
      <top>
        <color indexed="63"/>
      </top>
      <bottom>
        <color indexed="63"/>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cellStyleXfs>
  <cellXfs count="459">
    <xf numFmtId="37" fontId="0" fillId="0" borderId="0" xfId="0" applyAlignment="1">
      <alignment/>
    </xf>
    <xf numFmtId="37" fontId="3" fillId="0" borderId="2" xfId="0" applyFont="1" applyBorder="1" applyAlignment="1" applyProtection="1">
      <alignment horizontal="centerContinuous"/>
      <protection locked="0"/>
    </xf>
    <xf numFmtId="37" fontId="3" fillId="0" borderId="3"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3" borderId="3" xfId="0" applyFont="1" applyFill="1" applyBorder="1" applyAlignment="1" applyProtection="1">
      <alignment horizontal="centerContinuous"/>
      <protection locked="0"/>
    </xf>
    <xf numFmtId="37" fontId="6" fillId="0" borderId="4" xfId="0" applyFont="1" applyBorder="1" applyAlignment="1" applyProtection="1">
      <alignment/>
      <protection locked="0"/>
    </xf>
    <xf numFmtId="37" fontId="6" fillId="0" borderId="3" xfId="0" applyFont="1" applyBorder="1" applyAlignment="1" applyProtection="1">
      <alignment/>
      <protection locked="0"/>
    </xf>
    <xf numFmtId="37" fontId="6" fillId="0" borderId="0" xfId="0" applyFont="1" applyAlignment="1" applyProtection="1">
      <alignment/>
      <protection locked="0"/>
    </xf>
    <xf numFmtId="37" fontId="6" fillId="0" borderId="2" xfId="0" applyFont="1" applyBorder="1" applyAlignment="1" applyProtection="1">
      <alignment/>
      <protection locked="0"/>
    </xf>
    <xf numFmtId="37" fontId="6" fillId="0" borderId="0" xfId="0" applyFont="1" applyBorder="1" applyAlignment="1" applyProtection="1">
      <alignment/>
      <protection locked="0"/>
    </xf>
    <xf numFmtId="173" fontId="1" fillId="4" borderId="1" xfId="0" applyNumberFormat="1" applyFont="1" applyFill="1" applyBorder="1" applyAlignment="1" applyProtection="1">
      <alignment/>
      <protection/>
    </xf>
    <xf numFmtId="37" fontId="1" fillId="4"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4" borderId="5" xfId="0" applyFont="1" applyFill="1" applyBorder="1" applyAlignment="1">
      <alignment/>
    </xf>
    <xf numFmtId="37" fontId="5" fillId="4" borderId="5" xfId="0" applyFont="1" applyFill="1" applyBorder="1" applyAlignment="1">
      <alignment/>
    </xf>
    <xf numFmtId="172" fontId="1" fillId="0" borderId="0" xfId="0" applyNumberFormat="1" applyFont="1" applyAlignment="1" applyProtection="1">
      <alignment/>
      <protection/>
    </xf>
    <xf numFmtId="37" fontId="1" fillId="3" borderId="0" xfId="0" applyFont="1" applyFill="1" applyAlignment="1" applyProtection="1">
      <alignment/>
      <protection/>
    </xf>
    <xf numFmtId="172" fontId="1" fillId="0" borderId="4" xfId="0" applyNumberFormat="1" applyFont="1" applyBorder="1" applyAlignment="1" applyProtection="1">
      <alignment/>
      <protection/>
    </xf>
    <xf numFmtId="37" fontId="1" fillId="3" borderId="4" xfId="0" applyFont="1" applyFill="1" applyBorder="1" applyAlignment="1" applyProtection="1">
      <alignment horizontal="centerContinuous"/>
      <protection/>
    </xf>
    <xf numFmtId="10" fontId="1" fillId="3" borderId="4" xfId="0" applyNumberFormat="1" applyFont="1" applyFill="1" applyBorder="1" applyAlignment="1" applyProtection="1">
      <alignment horizontal="centerContinuous"/>
      <protection/>
    </xf>
    <xf numFmtId="37" fontId="1" fillId="3" borderId="4" xfId="0" applyFont="1" applyFill="1" applyBorder="1" applyAlignment="1" applyProtection="1">
      <alignment horizontal="right"/>
      <protection/>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37" fontId="1" fillId="3" borderId="3" xfId="0" applyFont="1" applyFill="1" applyBorder="1" applyAlignment="1" applyProtection="1">
      <alignment/>
      <protection/>
    </xf>
    <xf numFmtId="37" fontId="5" fillId="3" borderId="2" xfId="0" applyFont="1" applyFill="1" applyBorder="1" applyAlignment="1" applyProtection="1">
      <alignment/>
      <protection/>
    </xf>
    <xf numFmtId="37" fontId="1" fillId="3" borderId="2" xfId="0" applyFont="1" applyFill="1" applyBorder="1" applyAlignment="1" applyProtection="1">
      <alignment/>
      <protection/>
    </xf>
    <xf numFmtId="37" fontId="1" fillId="3"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4" borderId="9" xfId="0" applyFont="1" applyFill="1" applyBorder="1" applyAlignment="1" applyProtection="1">
      <alignment horizontal="centerContinuous"/>
      <protection/>
    </xf>
    <xf numFmtId="37" fontId="5" fillId="4" borderId="3"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5" fillId="4" borderId="11" xfId="0" applyFont="1" applyFill="1" applyBorder="1" applyAlignment="1" applyProtection="1">
      <alignment horizontal="centerContinuous"/>
      <protection/>
    </xf>
    <xf numFmtId="37" fontId="5" fillId="4" borderId="2" xfId="0" applyFont="1" applyFill="1" applyBorder="1" applyAlignment="1" applyProtection="1">
      <alignment horizontal="centerContinuous"/>
      <protection/>
    </xf>
    <xf numFmtId="37" fontId="5" fillId="4"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3" borderId="13" xfId="0" applyFont="1" applyFill="1" applyBorder="1" applyAlignment="1" applyProtection="1">
      <alignment/>
      <protection/>
    </xf>
    <xf numFmtId="37" fontId="5" fillId="3" borderId="1" xfId="0" applyFont="1" applyFill="1" applyBorder="1" applyAlignment="1" applyProtection="1">
      <alignment/>
      <protection/>
    </xf>
    <xf numFmtId="37" fontId="5" fillId="3" borderId="8" xfId="0" applyFont="1" applyFill="1" applyBorder="1" applyAlignment="1" applyProtection="1">
      <alignment horizontal="center"/>
      <protection/>
    </xf>
    <xf numFmtId="37" fontId="5" fillId="3" borderId="8" xfId="0" applyFont="1" applyFill="1" applyBorder="1" applyAlignment="1" applyProtection="1">
      <alignment horizontal="centerContinuous"/>
      <protection/>
    </xf>
    <xf numFmtId="37" fontId="5" fillId="3"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3" borderId="0" xfId="0" applyFont="1" applyFill="1" applyAlignment="1">
      <alignment/>
    </xf>
    <xf numFmtId="37" fontId="1" fillId="3" borderId="4" xfId="0" applyFont="1" applyFill="1" applyBorder="1" applyAlignment="1">
      <alignment horizontal="centerContinuous"/>
    </xf>
    <xf numFmtId="37" fontId="1" fillId="3" borderId="4" xfId="0" applyFont="1" applyFill="1" applyBorder="1" applyAlignment="1">
      <alignment/>
    </xf>
    <xf numFmtId="37" fontId="1" fillId="3" borderId="4" xfId="0" applyFont="1" applyFill="1" applyBorder="1" applyAlignment="1">
      <alignment horizontal="right"/>
    </xf>
    <xf numFmtId="37" fontId="1" fillId="3" borderId="3" xfId="0" applyFont="1" applyFill="1" applyBorder="1" applyAlignment="1">
      <alignment horizontal="centerContinuous"/>
    </xf>
    <xf numFmtId="37" fontId="1" fillId="3" borderId="3" xfId="0" applyFont="1" applyFill="1" applyBorder="1" applyAlignment="1">
      <alignment/>
    </xf>
    <xf numFmtId="37" fontId="1" fillId="3" borderId="3" xfId="0" applyFont="1" applyFill="1" applyBorder="1" applyAlignment="1">
      <alignment/>
    </xf>
    <xf numFmtId="37" fontId="1" fillId="4" borderId="15" xfId="0" applyFont="1" applyFill="1" applyBorder="1" applyAlignment="1">
      <alignment/>
    </xf>
    <xf numFmtId="37" fontId="5" fillId="4" borderId="4" xfId="0" applyFont="1" applyFill="1" applyBorder="1" applyAlignment="1">
      <alignment horizontal="centerContinuous"/>
    </xf>
    <xf numFmtId="37" fontId="5" fillId="4" borderId="13" xfId="0" applyFont="1" applyFill="1" applyBorder="1" applyAlignment="1">
      <alignment horizontal="centerContinuous"/>
    </xf>
    <xf numFmtId="37" fontId="5" fillId="4" borderId="15" xfId="0" applyFont="1" applyFill="1" applyBorder="1" applyAlignment="1">
      <alignment horizontal="centerContinuous"/>
    </xf>
    <xf numFmtId="37" fontId="5" fillId="4" borderId="9" xfId="0" applyFont="1" applyFill="1" applyBorder="1" applyAlignment="1">
      <alignment horizontal="centerContinuous"/>
    </xf>
    <xf numFmtId="37" fontId="5" fillId="4" borderId="3" xfId="0" applyFont="1" applyFill="1" applyBorder="1" applyAlignment="1">
      <alignment horizontal="centerContinuous"/>
    </xf>
    <xf numFmtId="37" fontId="5" fillId="4" borderId="10" xfId="0" applyFont="1" applyFill="1" applyBorder="1" applyAlignment="1">
      <alignment horizontal="centerContinuous"/>
    </xf>
    <xf numFmtId="37" fontId="1" fillId="3" borderId="8" xfId="0" applyFont="1" applyFill="1" applyBorder="1" applyAlignment="1">
      <alignment horizontal="centerContinuous"/>
    </xf>
    <xf numFmtId="37" fontId="5" fillId="3" borderId="1" xfId="0" applyFont="1" applyFill="1" applyBorder="1" applyAlignment="1">
      <alignment horizontal="centerContinuous"/>
    </xf>
    <xf numFmtId="37" fontId="5" fillId="3" borderId="8" xfId="0" applyFont="1" applyFill="1" applyBorder="1" applyAlignment="1">
      <alignment horizontal="centerContinuous"/>
    </xf>
    <xf numFmtId="37" fontId="5" fillId="3"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3" borderId="0" xfId="0" applyFont="1" applyFill="1" applyAlignment="1">
      <alignment horizontal="center"/>
    </xf>
    <xf numFmtId="172" fontId="1" fillId="0" borderId="0" xfId="0" applyNumberFormat="1" applyFont="1" applyAlignment="1" applyProtection="1">
      <alignment/>
      <protection/>
    </xf>
    <xf numFmtId="37" fontId="1" fillId="3" borderId="0" xfId="0" applyFont="1" applyFill="1" applyAlignment="1" applyProtection="1">
      <alignment/>
      <protection/>
    </xf>
    <xf numFmtId="37" fontId="1" fillId="0" borderId="0" xfId="0" applyFont="1" applyAlignment="1">
      <alignment/>
    </xf>
    <xf numFmtId="172" fontId="1" fillId="0" borderId="4" xfId="0" applyNumberFormat="1" applyFont="1" applyBorder="1" applyAlignment="1" applyProtection="1">
      <alignment/>
      <protection/>
    </xf>
    <xf numFmtId="37" fontId="1" fillId="3" borderId="4" xfId="0" applyFont="1" applyFill="1" applyBorder="1" applyAlignment="1" applyProtection="1">
      <alignment horizontal="centerContinuous"/>
      <protection/>
    </xf>
    <xf numFmtId="37" fontId="1" fillId="3" borderId="4" xfId="0" applyFont="1" applyFill="1" applyBorder="1" applyAlignment="1" applyProtection="1">
      <alignment horizontal="right"/>
      <protection/>
    </xf>
    <xf numFmtId="172" fontId="1" fillId="0" borderId="3" xfId="0" applyNumberFormat="1" applyFont="1" applyBorder="1" applyAlignment="1" applyProtection="1">
      <alignment/>
      <protection/>
    </xf>
    <xf numFmtId="37" fontId="1" fillId="3" borderId="3" xfId="0" applyFont="1" applyFill="1" applyBorder="1" applyAlignment="1" applyProtection="1">
      <alignment horizontal="centerContinuous"/>
      <protection/>
    </xf>
    <xf numFmtId="37" fontId="1" fillId="3" borderId="3" xfId="0" applyFont="1" applyFill="1" applyBorder="1" applyAlignment="1" applyProtection="1">
      <alignment/>
      <protection/>
    </xf>
    <xf numFmtId="37" fontId="1" fillId="3"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3"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4" borderId="1" xfId="0" applyNumberFormat="1" applyFont="1" applyFill="1" applyBorder="1" applyAlignment="1" applyProtection="1">
      <alignment/>
      <protection/>
    </xf>
    <xf numFmtId="37" fontId="1" fillId="4"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4" borderId="5" xfId="0" applyFont="1" applyFill="1" applyBorder="1" applyAlignment="1">
      <alignment/>
    </xf>
    <xf numFmtId="174" fontId="5" fillId="4" borderId="5"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2" xfId="0" applyNumberFormat="1" applyFont="1" applyBorder="1" applyAlignment="1" applyProtection="1">
      <alignment/>
      <protection/>
    </xf>
    <xf numFmtId="37" fontId="1" fillId="0" borderId="2" xfId="0" applyFont="1" applyBorder="1" applyAlignment="1">
      <alignment horizontal="centerContinuous"/>
    </xf>
    <xf numFmtId="37" fontId="1" fillId="0" borderId="2"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4"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2" xfId="0" applyFont="1" applyBorder="1" applyAlignment="1">
      <alignment horizontal="centerContinuous"/>
    </xf>
    <xf numFmtId="37" fontId="1" fillId="3" borderId="2" xfId="0" applyFont="1" applyFill="1" applyBorder="1" applyAlignment="1">
      <alignment horizontal="centerContinuous"/>
    </xf>
    <xf numFmtId="37" fontId="1" fillId="3" borderId="6" xfId="0" applyFont="1" applyFill="1" applyBorder="1" applyAlignment="1">
      <alignment horizontal="centerContinuous"/>
    </xf>
    <xf numFmtId="37" fontId="1" fillId="0" borderId="0" xfId="0" applyFont="1" applyAlignment="1">
      <alignment horizontal="centerContinuous"/>
    </xf>
    <xf numFmtId="37" fontId="1" fillId="4" borderId="4" xfId="0" applyFont="1" applyFill="1" applyBorder="1" applyAlignment="1">
      <alignment horizontal="centerContinuous"/>
    </xf>
    <xf numFmtId="37" fontId="1" fillId="4"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171"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2" xfId="0" applyFont="1" applyBorder="1" applyAlignment="1" applyProtection="1">
      <alignment horizontal="centerContinuous"/>
      <protection locked="0"/>
    </xf>
    <xf numFmtId="37" fontId="1" fillId="5" borderId="3" xfId="0" applyFont="1" applyFill="1" applyBorder="1" applyAlignment="1">
      <alignment horizontal="centerContinuous"/>
    </xf>
    <xf numFmtId="37" fontId="1" fillId="5" borderId="10" xfId="0" applyFont="1" applyFill="1" applyBorder="1" applyAlignment="1">
      <alignment horizontal="centerContinuous"/>
    </xf>
    <xf numFmtId="37" fontId="1" fillId="0" borderId="3" xfId="0" applyFont="1" applyBorder="1" applyAlignment="1">
      <alignment horizontal="centerContinuous"/>
    </xf>
    <xf numFmtId="37" fontId="1" fillId="0" borderId="10" xfId="0" applyFont="1" applyBorder="1" applyAlignment="1">
      <alignment horizontal="centerContinuous"/>
    </xf>
    <xf numFmtId="37" fontId="1" fillId="3" borderId="0" xfId="0" applyFont="1" applyFill="1" applyAlignment="1">
      <alignment/>
    </xf>
    <xf numFmtId="37" fontId="5" fillId="4" borderId="12" xfId="0" applyFont="1" applyFill="1" applyBorder="1" applyAlignment="1">
      <alignment horizontal="centerContinuous"/>
    </xf>
    <xf numFmtId="37" fontId="5" fillId="4" borderId="12" xfId="0" applyFont="1" applyFill="1" applyBorder="1" applyAlignment="1">
      <alignment horizontal="center"/>
    </xf>
    <xf numFmtId="37" fontId="5" fillId="4" borderId="1" xfId="0" applyFont="1" applyFill="1" applyBorder="1" applyAlignment="1">
      <alignment horizontal="centerContinuous"/>
    </xf>
    <xf numFmtId="37" fontId="5" fillId="4" borderId="1" xfId="0" applyFont="1" applyFill="1" applyBorder="1" applyAlignment="1">
      <alignment horizontal="center"/>
    </xf>
    <xf numFmtId="37" fontId="5" fillId="4"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3" xfId="0" applyFont="1" applyBorder="1" applyAlignment="1">
      <alignment horizontal="centerContinuous"/>
    </xf>
    <xf numFmtId="37" fontId="1" fillId="3" borderId="0" xfId="0" applyFont="1" applyFill="1" applyAlignment="1">
      <alignment horizontal="centerContinuous"/>
    </xf>
    <xf numFmtId="37" fontId="5" fillId="3" borderId="11" xfId="0" applyFont="1" applyFill="1" applyBorder="1" applyAlignment="1">
      <alignment horizontal="centerContinuous"/>
    </xf>
    <xf numFmtId="37" fontId="5" fillId="3" borderId="2" xfId="0" applyFont="1" applyFill="1" applyBorder="1" applyAlignment="1">
      <alignment horizontal="centerContinuous"/>
    </xf>
    <xf numFmtId="37" fontId="5" fillId="3" borderId="6" xfId="0" applyFont="1" applyFill="1" applyBorder="1" applyAlignment="1">
      <alignment horizontal="centerContinuous"/>
    </xf>
    <xf numFmtId="37" fontId="5" fillId="4" borderId="12" xfId="0" applyNumberFormat="1" applyFont="1" applyFill="1" applyBorder="1" applyAlignment="1" applyProtection="1">
      <alignment horizontal="centerContinuous"/>
      <protection/>
    </xf>
    <xf numFmtId="37" fontId="5" fillId="4" borderId="12" xfId="0" applyNumberFormat="1" applyFont="1" applyFill="1" applyBorder="1" applyAlignment="1" applyProtection="1">
      <alignment horizontal="center"/>
      <protection/>
    </xf>
    <xf numFmtId="37" fontId="5" fillId="4" borderId="12" xfId="0" applyFont="1" applyFill="1" applyBorder="1" applyAlignment="1">
      <alignment/>
    </xf>
    <xf numFmtId="37" fontId="5" fillId="4" borderId="1" xfId="0" applyNumberFormat="1" applyFont="1" applyFill="1" applyBorder="1" applyAlignment="1" applyProtection="1">
      <alignment horizontal="centerContinuous"/>
      <protection/>
    </xf>
    <xf numFmtId="37" fontId="5" fillId="4" borderId="1" xfId="0" applyNumberFormat="1" applyFont="1" applyFill="1" applyBorder="1" applyAlignment="1" applyProtection="1">
      <alignment/>
      <protection/>
    </xf>
    <xf numFmtId="37" fontId="5" fillId="4" borderId="1" xfId="0" applyFont="1" applyFill="1" applyBorder="1" applyAlignment="1">
      <alignment/>
    </xf>
    <xf numFmtId="37" fontId="5" fillId="4"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4" borderId="5"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2" xfId="0" applyFont="1" applyBorder="1" applyAlignment="1" quotePrefix="1">
      <alignment horizontal="centerContinuous"/>
    </xf>
    <xf numFmtId="37" fontId="10" fillId="0" borderId="3" xfId="0" applyFont="1" applyBorder="1" applyAlignment="1" applyProtection="1">
      <alignment horizontal="centerContinuous"/>
      <protection locked="0"/>
    </xf>
    <xf numFmtId="37" fontId="5" fillId="4" borderId="1" xfId="0" applyNumberFormat="1" applyFont="1" applyFill="1" applyBorder="1" applyAlignment="1" applyProtection="1">
      <alignment horizontal="center"/>
      <protection/>
    </xf>
    <xf numFmtId="37" fontId="1" fillId="0" borderId="0" xfId="0" applyFont="1" applyAlignment="1">
      <alignment horizontal="centerContinuous"/>
    </xf>
    <xf numFmtId="37" fontId="1" fillId="0" borderId="2" xfId="0" applyFont="1" applyBorder="1" applyAlignment="1">
      <alignment/>
    </xf>
    <xf numFmtId="37" fontId="1" fillId="0" borderId="3" xfId="0" applyFont="1" applyBorder="1" applyAlignment="1">
      <alignment/>
    </xf>
    <xf numFmtId="37" fontId="5" fillId="4" borderId="1" xfId="0" applyFont="1" applyFill="1" applyBorder="1" applyAlignment="1">
      <alignment/>
    </xf>
    <xf numFmtId="37" fontId="5" fillId="4" borderId="7" xfId="0" applyFont="1" applyFill="1" applyBorder="1" applyAlignment="1">
      <alignment horizontal="centerContinuous"/>
    </xf>
    <xf numFmtId="37" fontId="5" fillId="4" borderId="0" xfId="0" applyFont="1" applyFill="1" applyAlignment="1">
      <alignment horizontal="centerContinuous"/>
    </xf>
    <xf numFmtId="37" fontId="5" fillId="4" borderId="8" xfId="0" applyFont="1" applyFill="1" applyBorder="1" applyAlignment="1">
      <alignment horizontal="centerContinuous"/>
    </xf>
    <xf numFmtId="37" fontId="1" fillId="0" borderId="0" xfId="0" applyFont="1" applyBorder="1" applyAlignment="1" quotePrefix="1">
      <alignment horizontal="centerContinuous"/>
    </xf>
    <xf numFmtId="37" fontId="5" fillId="3" borderId="0" xfId="0" applyFont="1" applyFill="1" applyAlignment="1">
      <alignment/>
    </xf>
    <xf numFmtId="37" fontId="1" fillId="0" borderId="0" xfId="0" applyFont="1" applyAlignment="1">
      <alignment wrapText="1"/>
    </xf>
    <xf numFmtId="37" fontId="5" fillId="4" borderId="4" xfId="0" applyFont="1" applyFill="1" applyBorder="1" applyAlignment="1">
      <alignment/>
    </xf>
    <xf numFmtId="37" fontId="5" fillId="4" borderId="0" xfId="0" applyFont="1" applyFill="1" applyAlignment="1">
      <alignment/>
    </xf>
    <xf numFmtId="37" fontId="5" fillId="4" borderId="14" xfId="0" applyFont="1" applyFill="1" applyBorder="1" applyAlignment="1">
      <alignment horizontal="center"/>
    </xf>
    <xf numFmtId="37" fontId="5" fillId="3" borderId="5"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4" borderId="11" xfId="0" applyFont="1" applyFill="1" applyBorder="1" applyAlignment="1">
      <alignment horizontal="centerContinuous"/>
    </xf>
    <xf numFmtId="37" fontId="1" fillId="4" borderId="2" xfId="0" applyFont="1" applyFill="1" applyBorder="1" applyAlignment="1">
      <alignment horizontal="centerContinuous"/>
    </xf>
    <xf numFmtId="37" fontId="1" fillId="4" borderId="6" xfId="0" applyFont="1" applyFill="1" applyBorder="1" applyAlignment="1">
      <alignment/>
    </xf>
    <xf numFmtId="37" fontId="5" fillId="4" borderId="2" xfId="0" applyFont="1" applyFill="1" applyBorder="1" applyAlignment="1">
      <alignment horizontal="centerContinuous"/>
    </xf>
    <xf numFmtId="37" fontId="1" fillId="4"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4" xfId="0" applyNumberFormat="1" applyFont="1" applyBorder="1" applyAlignment="1" applyProtection="1">
      <alignment horizontal="centerContinuous"/>
      <protection/>
    </xf>
    <xf numFmtId="37" fontId="1" fillId="3" borderId="4" xfId="0" applyFont="1" applyFill="1" applyBorder="1" applyAlignment="1">
      <alignment horizontal="centerContinuous"/>
    </xf>
    <xf numFmtId="37" fontId="1" fillId="0" borderId="17" xfId="0" applyFont="1" applyBorder="1" applyAlignment="1">
      <alignment horizontal="centerContinuous"/>
    </xf>
    <xf numFmtId="172" fontId="1" fillId="0" borderId="3" xfId="0" applyNumberFormat="1" applyFont="1" applyBorder="1" applyAlignment="1" applyProtection="1">
      <alignment horizontal="centerContinuous"/>
      <protection/>
    </xf>
    <xf numFmtId="37" fontId="1" fillId="3" borderId="3" xfId="0" applyFont="1" applyFill="1" applyBorder="1" applyAlignment="1">
      <alignment horizontal="centerContinuous"/>
    </xf>
    <xf numFmtId="37" fontId="1" fillId="0" borderId="18" xfId="0" applyFont="1" applyBorder="1" applyAlignment="1">
      <alignment horizontal="centerContinuous"/>
    </xf>
    <xf numFmtId="37" fontId="1" fillId="4" borderId="15" xfId="0" applyFont="1" applyFill="1" applyBorder="1" applyAlignment="1">
      <alignment/>
    </xf>
    <xf numFmtId="37" fontId="1" fillId="4" borderId="13" xfId="0" applyFont="1" applyFill="1" applyBorder="1" applyAlignment="1">
      <alignment horizontal="centerContinuous"/>
    </xf>
    <xf numFmtId="37" fontId="5" fillId="3" borderId="13" xfId="0" applyFont="1" applyFill="1" applyBorder="1" applyAlignment="1">
      <alignment horizontal="centerContinuous"/>
    </xf>
    <xf numFmtId="37" fontId="5" fillId="3" borderId="12" xfId="0" applyFont="1" applyFill="1" applyBorder="1" applyAlignment="1">
      <alignment horizontal="centerContinuous"/>
    </xf>
    <xf numFmtId="0" fontId="1" fillId="3" borderId="4" xfId="0" applyNumberFormat="1" applyFont="1" applyFill="1" applyBorder="1" applyAlignment="1">
      <alignment/>
    </xf>
    <xf numFmtId="0" fontId="1" fillId="3" borderId="3" xfId="0" applyNumberFormat="1" applyFont="1" applyFill="1" applyBorder="1" applyAlignment="1">
      <alignment/>
    </xf>
    <xf numFmtId="37" fontId="1" fillId="4" borderId="10" xfId="0" applyFont="1" applyFill="1" applyBorder="1" applyAlignment="1">
      <alignment horizontal="centerContinuous"/>
    </xf>
    <xf numFmtId="37" fontId="1" fillId="3"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3" borderId="4" xfId="0" applyFont="1" applyFill="1" applyBorder="1" applyAlignment="1">
      <alignment/>
    </xf>
    <xf numFmtId="37" fontId="1" fillId="3" borderId="3" xfId="0" applyFont="1" applyFill="1" applyBorder="1" applyAlignment="1">
      <alignment/>
    </xf>
    <xf numFmtId="37" fontId="1" fillId="4" borderId="3" xfId="0" applyFont="1" applyFill="1" applyBorder="1" applyAlignment="1">
      <alignment horizontal="centerContinuous"/>
    </xf>
    <xf numFmtId="37" fontId="1" fillId="3" borderId="7" xfId="0" applyFont="1" applyFill="1" applyBorder="1" applyAlignment="1">
      <alignment/>
    </xf>
    <xf numFmtId="37" fontId="1" fillId="3" borderId="4" xfId="0" applyFont="1" applyFill="1" applyBorder="1" applyAlignment="1">
      <alignment/>
    </xf>
    <xf numFmtId="37" fontId="1" fillId="3" borderId="4" xfId="0" applyFont="1" applyFill="1" applyBorder="1" applyAlignment="1">
      <alignment horizontal="right"/>
    </xf>
    <xf numFmtId="37" fontId="1" fillId="3" borderId="3" xfId="0" applyFont="1" applyFill="1" applyBorder="1" applyAlignment="1">
      <alignment/>
    </xf>
    <xf numFmtId="37" fontId="5" fillId="3" borderId="2" xfId="0" applyFont="1" applyFill="1" applyBorder="1" applyAlignment="1">
      <alignment/>
    </xf>
    <xf numFmtId="37" fontId="1" fillId="3" borderId="2" xfId="0" applyFont="1" applyFill="1" applyBorder="1" applyAlignment="1">
      <alignment/>
    </xf>
    <xf numFmtId="37" fontId="1" fillId="3" borderId="6" xfId="0" applyFont="1" applyFill="1" applyBorder="1" applyAlignment="1">
      <alignment/>
    </xf>
    <xf numFmtId="37" fontId="5" fillId="0" borderId="5" xfId="0" applyFont="1" applyBorder="1" applyAlignment="1">
      <alignment horizontal="centerContinuous"/>
    </xf>
    <xf numFmtId="37" fontId="5" fillId="4" borderId="15" xfId="0" applyFont="1" applyFill="1" applyBorder="1" applyAlignment="1">
      <alignment/>
    </xf>
    <xf numFmtId="174" fontId="1" fillId="0" borderId="0" xfId="0" applyNumberFormat="1" applyFont="1" applyAlignment="1" applyProtection="1">
      <alignment/>
      <protection/>
    </xf>
    <xf numFmtId="37" fontId="5" fillId="3" borderId="11" xfId="0" applyFont="1" applyFill="1" applyBorder="1" applyAlignment="1">
      <alignment horizontal="left"/>
    </xf>
    <xf numFmtId="37" fontId="5" fillId="3" borderId="1" xfId="0" applyFont="1" applyFill="1" applyBorder="1" applyAlignment="1">
      <alignment/>
    </xf>
    <xf numFmtId="37" fontId="5" fillId="3" borderId="8" xfId="0" applyFont="1" applyFill="1" applyBorder="1" applyAlignment="1">
      <alignment horizontal="center"/>
    </xf>
    <xf numFmtId="37" fontId="1" fillId="0" borderId="17" xfId="0" applyFont="1" applyBorder="1" applyAlignment="1">
      <alignment/>
    </xf>
    <xf numFmtId="37" fontId="1" fillId="3" borderId="2" xfId="0" applyFont="1" applyFill="1" applyBorder="1" applyAlignment="1">
      <alignment horizontal="centerContinuous"/>
    </xf>
    <xf numFmtId="37" fontId="1" fillId="3" borderId="6" xfId="0" applyFont="1" applyFill="1" applyBorder="1" applyAlignment="1">
      <alignment horizontal="centerContinuous"/>
    </xf>
    <xf numFmtId="37" fontId="1" fillId="3" borderId="2" xfId="0" applyFont="1" applyFill="1" applyBorder="1" applyAlignment="1">
      <alignment/>
    </xf>
    <xf numFmtId="37" fontId="1" fillId="3" borderId="6" xfId="0" applyFont="1" applyFill="1" applyBorder="1" applyAlignment="1">
      <alignment/>
    </xf>
    <xf numFmtId="37" fontId="1" fillId="3" borderId="0" xfId="0" applyFont="1" applyFill="1" applyAlignment="1">
      <alignment horizontal="centerContinuous"/>
    </xf>
    <xf numFmtId="37" fontId="1" fillId="3" borderId="8" xfId="0" applyFont="1" applyFill="1" applyBorder="1" applyAlignment="1">
      <alignment/>
    </xf>
    <xf numFmtId="37" fontId="5" fillId="4" borderId="15" xfId="0" applyFont="1" applyFill="1" applyBorder="1" applyAlignment="1">
      <alignment horizontal="center"/>
    </xf>
    <xf numFmtId="37" fontId="1" fillId="3" borderId="4"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3" borderId="4" xfId="0" applyFont="1" applyFill="1" applyBorder="1" applyAlignment="1" applyProtection="1">
      <alignment/>
      <protection/>
    </xf>
    <xf numFmtId="37" fontId="1" fillId="3" borderId="3" xfId="0" applyFont="1" applyFill="1" applyBorder="1" applyAlignment="1" applyProtection="1">
      <alignment horizontal="center"/>
      <protection/>
    </xf>
    <xf numFmtId="37" fontId="1" fillId="3" borderId="2" xfId="0" applyFont="1" applyFill="1" applyBorder="1" applyAlignment="1" applyProtection="1">
      <alignment horizontal="centerContinuous"/>
      <protection/>
    </xf>
    <xf numFmtId="37" fontId="5" fillId="3" borderId="19" xfId="0" applyFont="1" applyFill="1" applyBorder="1" applyAlignment="1" applyProtection="1">
      <alignment horizontal="center"/>
      <protection/>
    </xf>
    <xf numFmtId="37" fontId="5" fillId="3" borderId="3"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7" xfId="0" applyFont="1" applyBorder="1" applyAlignment="1">
      <alignment/>
    </xf>
    <xf numFmtId="172" fontId="1" fillId="0" borderId="4" xfId="0" applyNumberFormat="1" applyFont="1" applyBorder="1" applyAlignment="1" applyProtection="1">
      <alignment horizontal="centerContinuous"/>
      <protection/>
    </xf>
    <xf numFmtId="37" fontId="6" fillId="3" borderId="3" xfId="0" applyFont="1" applyFill="1" applyBorder="1" applyAlignment="1">
      <alignment horizontal="centerContinuous"/>
    </xf>
    <xf numFmtId="172" fontId="1" fillId="0" borderId="3" xfId="0" applyNumberFormat="1" applyFont="1" applyBorder="1" applyAlignment="1" applyProtection="1">
      <alignment horizontal="centerContinuous"/>
      <protection/>
    </xf>
    <xf numFmtId="37" fontId="5" fillId="3" borderId="14" xfId="0" applyFont="1" applyFill="1" applyBorder="1" applyAlignment="1">
      <alignment horizontal="centerContinuous"/>
    </xf>
    <xf numFmtId="37" fontId="5" fillId="3" borderId="10" xfId="0" applyFont="1" applyFill="1" applyBorder="1" applyAlignment="1">
      <alignment horizontal="centerContinuous"/>
    </xf>
    <xf numFmtId="37" fontId="1" fillId="3" borderId="17" xfId="0" applyFont="1" applyFill="1" applyBorder="1" applyAlignment="1">
      <alignment/>
    </xf>
    <xf numFmtId="37" fontId="1" fillId="3" borderId="17" xfId="0" applyFont="1" applyFill="1" applyBorder="1" applyAlignment="1">
      <alignment horizontal="centerContinuous"/>
    </xf>
    <xf numFmtId="37" fontId="6" fillId="0" borderId="3" xfId="0" applyFont="1" applyBorder="1" applyAlignment="1" applyProtection="1">
      <alignment/>
      <protection locked="0"/>
    </xf>
    <xf numFmtId="37" fontId="1" fillId="3" borderId="18" xfId="0" applyFont="1" applyFill="1" applyBorder="1" applyAlignment="1">
      <alignment horizontal="centerContinuous"/>
    </xf>
    <xf numFmtId="37" fontId="1" fillId="3" borderId="0" xfId="0" applyFont="1" applyFill="1" applyBorder="1" applyAlignment="1">
      <alignment/>
    </xf>
    <xf numFmtId="37" fontId="1" fillId="0" borderId="0" xfId="0" applyNumberFormat="1" applyFont="1" applyBorder="1" applyAlignment="1" applyProtection="1">
      <alignment/>
      <protection/>
    </xf>
    <xf numFmtId="37" fontId="5" fillId="4" borderId="6" xfId="0" applyFont="1" applyFill="1" applyBorder="1" applyAlignment="1">
      <alignment horizontal="centerContinuous"/>
    </xf>
    <xf numFmtId="37" fontId="5" fillId="3" borderId="13" xfId="0" applyFont="1" applyFill="1" applyBorder="1" applyAlignment="1">
      <alignment horizontal="right"/>
    </xf>
    <xf numFmtId="37" fontId="5" fillId="3"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3" borderId="3" xfId="0" applyFont="1" applyFill="1" applyBorder="1" applyAlignment="1" applyProtection="1" quotePrefix="1">
      <alignment horizontal="centerContinuous"/>
      <protection/>
    </xf>
    <xf numFmtId="182" fontId="1" fillId="3"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2"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3"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1" fillId="0" borderId="2" xfId="0" applyFont="1" applyBorder="1" applyAlignment="1">
      <alignment/>
    </xf>
    <xf numFmtId="37" fontId="5" fillId="0" borderId="0" xfId="0" applyFont="1" applyAlignment="1">
      <alignment horizontal="centerContinuous"/>
    </xf>
    <xf numFmtId="37" fontId="5" fillId="3"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5" xfId="0" applyNumberFormat="1" applyFont="1" applyBorder="1" applyAlignment="1" applyProtection="1">
      <alignment/>
      <protection/>
    </xf>
    <xf numFmtId="174" fontId="5" fillId="0" borderId="5" xfId="0" applyNumberFormat="1" applyFont="1" applyBorder="1" applyAlignment="1" applyProtection="1">
      <alignment/>
      <protection/>
    </xf>
    <xf numFmtId="37" fontId="5" fillId="4" borderId="13" xfId="0" applyFont="1" applyFill="1" applyBorder="1" applyAlignment="1">
      <alignment horizontal="center"/>
    </xf>
    <xf numFmtId="37" fontId="5" fillId="4" borderId="4"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2" xfId="0" applyNumberFormat="1" applyFont="1" applyBorder="1" applyAlignment="1" applyProtection="1">
      <alignment/>
      <protection/>
    </xf>
    <xf numFmtId="37" fontId="1" fillId="0" borderId="2" xfId="0" applyFont="1" applyBorder="1" applyAlignment="1">
      <alignment/>
    </xf>
    <xf numFmtId="37" fontId="1" fillId="3" borderId="4" xfId="0" applyFont="1" applyFill="1" applyBorder="1" applyAlignment="1">
      <alignment horizontal="center"/>
    </xf>
    <xf numFmtId="37" fontId="5" fillId="3" borderId="7" xfId="0" applyFont="1" applyFill="1" applyBorder="1" applyAlignment="1">
      <alignment horizontal="right"/>
    </xf>
    <xf numFmtId="37" fontId="5" fillId="4" borderId="5" xfId="0" applyFont="1" applyFill="1" applyBorder="1" applyAlignment="1">
      <alignment horizontal="center"/>
    </xf>
    <xf numFmtId="37" fontId="5" fillId="3" borderId="12" xfId="0" applyFont="1" applyFill="1" applyBorder="1" applyAlignment="1">
      <alignment horizontal="center"/>
    </xf>
    <xf numFmtId="175" fontId="1"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3" borderId="0" xfId="0" applyFont="1" applyFill="1" applyBorder="1" applyAlignment="1">
      <alignment/>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171" fontId="0" fillId="0" borderId="0" xfId="16" applyFont="1" applyAlignment="1">
      <alignment horizontal="left"/>
    </xf>
    <xf numFmtId="37" fontId="1" fillId="0" borderId="3" xfId="0" applyFont="1" applyBorder="1" applyAlignment="1">
      <alignment/>
    </xf>
    <xf numFmtId="37" fontId="13" fillId="3" borderId="0" xfId="0" applyFont="1" applyFill="1" applyAlignment="1" applyProtection="1">
      <alignment horizontal="centerContinuous"/>
      <protection locked="0"/>
    </xf>
    <xf numFmtId="37" fontId="13" fillId="3" borderId="0" xfId="0" applyFont="1" applyFill="1" applyAlignment="1">
      <alignment horizontal="centerContinuous"/>
    </xf>
    <xf numFmtId="37" fontId="13" fillId="0" borderId="0" xfId="0" applyFont="1" applyAlignment="1">
      <alignment horizontal="centerContinuous"/>
    </xf>
    <xf numFmtId="0" fontId="0" fillId="0" borderId="0" xfId="16" applyNumberFormat="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37" fontId="1" fillId="3" borderId="23" xfId="0" applyNumberFormat="1" applyFont="1" applyFill="1" applyBorder="1" applyAlignment="1" applyProtection="1">
      <alignment/>
      <protection/>
    </xf>
    <xf numFmtId="174" fontId="1" fillId="3"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3"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5" fillId="3" borderId="11" xfId="0" applyFont="1" applyFill="1" applyBorder="1" applyAlignment="1" applyProtection="1">
      <alignment/>
      <protection/>
    </xf>
    <xf numFmtId="0" fontId="5" fillId="3" borderId="2" xfId="0" applyNumberFormat="1" applyFont="1" applyFill="1" applyBorder="1" applyAlignment="1" applyProtection="1">
      <alignment horizontal="centerContinuous"/>
      <protection/>
    </xf>
    <xf numFmtId="0" fontId="1" fillId="3" borderId="6" xfId="0" applyNumberFormat="1" applyFont="1" applyFill="1" applyBorder="1" applyAlignment="1" applyProtection="1">
      <alignment horizontal="centerContinuous"/>
      <protection/>
    </xf>
    <xf numFmtId="37" fontId="15" fillId="3" borderId="11" xfId="0" applyFont="1" applyFill="1" applyBorder="1" applyAlignment="1">
      <alignment horizontal="left"/>
    </xf>
    <xf numFmtId="37" fontId="15" fillId="3" borderId="11" xfId="0" applyFont="1" applyFill="1" applyBorder="1" applyAlignment="1">
      <alignment/>
    </xf>
    <xf numFmtId="0" fontId="1" fillId="3" borderId="2" xfId="0" applyNumberFormat="1" applyFont="1" applyFill="1" applyBorder="1" applyAlignment="1">
      <alignment horizontal="centerContinuous"/>
    </xf>
    <xf numFmtId="0" fontId="1" fillId="3" borderId="6" xfId="0" applyNumberFormat="1" applyFont="1" applyFill="1" applyBorder="1" applyAlignment="1">
      <alignment horizontal="centerContinuous"/>
    </xf>
    <xf numFmtId="190" fontId="0" fillId="0" borderId="0" xfId="0" applyNumberFormat="1" applyAlignment="1">
      <alignment/>
    </xf>
    <xf numFmtId="37" fontId="5" fillId="3" borderId="2" xfId="0" applyFont="1" applyFill="1" applyBorder="1" applyAlignment="1">
      <alignment/>
    </xf>
    <xf numFmtId="37" fontId="1" fillId="3" borderId="2" xfId="0" applyFont="1" applyFill="1" applyBorder="1" applyAlignment="1">
      <alignment/>
    </xf>
    <xf numFmtId="37" fontId="1" fillId="3" borderId="6" xfId="0" applyFont="1" applyFill="1" applyBorder="1" applyAlignment="1">
      <alignment/>
    </xf>
    <xf numFmtId="37" fontId="1" fillId="0" borderId="2" xfId="0" applyFont="1" applyBorder="1" applyAlignment="1">
      <alignment horizontal="left"/>
    </xf>
    <xf numFmtId="175" fontId="1" fillId="4"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4" borderId="5" xfId="0" applyNumberFormat="1" applyFont="1" applyFill="1" applyBorder="1" applyAlignment="1">
      <alignment/>
    </xf>
    <xf numFmtId="175" fontId="1" fillId="4" borderId="8" xfId="0" applyNumberFormat="1" applyFont="1" applyFill="1" applyBorder="1" applyAlignment="1">
      <alignment/>
    </xf>
    <xf numFmtId="175" fontId="1" fillId="0" borderId="8" xfId="0" applyNumberFormat="1" applyFont="1" applyBorder="1" applyAlignment="1">
      <alignment/>
    </xf>
    <xf numFmtId="175" fontId="1" fillId="4" borderId="24" xfId="0" applyNumberFormat="1" applyFont="1" applyFill="1" applyBorder="1" applyAlignment="1">
      <alignment/>
    </xf>
    <xf numFmtId="175" fontId="1" fillId="0" borderId="24" xfId="0" applyNumberFormat="1" applyFont="1" applyBorder="1" applyAlignment="1">
      <alignment/>
    </xf>
    <xf numFmtId="175" fontId="5" fillId="4" borderId="6" xfId="0" applyNumberFormat="1" applyFont="1" applyFill="1" applyBorder="1" applyAlignment="1">
      <alignment/>
    </xf>
    <xf numFmtId="175" fontId="5" fillId="4"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4" borderId="1" xfId="20" applyNumberFormat="1" applyFont="1" applyFill="1" applyBorder="1" applyAlignment="1">
      <alignment/>
    </xf>
    <xf numFmtId="174" fontId="1" fillId="0" borderId="1" xfId="20" applyNumberFormat="1" applyFont="1" applyBorder="1" applyAlignment="1">
      <alignment/>
    </xf>
    <xf numFmtId="37" fontId="15" fillId="3" borderId="11" xfId="0" applyFont="1" applyFill="1" applyBorder="1" applyAlignment="1">
      <alignment/>
    </xf>
    <xf numFmtId="39" fontId="1" fillId="4"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4" borderId="5" xfId="0" applyNumberFormat="1" applyFont="1" applyFill="1" applyBorder="1" applyAlignment="1">
      <alignment/>
    </xf>
    <xf numFmtId="0" fontId="1" fillId="4"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4" borderId="5" xfId="0" applyNumberFormat="1" applyFont="1" applyFill="1" applyBorder="1" applyAlignment="1">
      <alignment/>
    </xf>
    <xf numFmtId="37" fontId="1" fillId="0" borderId="0" xfId="0" applyFont="1" applyAlignment="1" quotePrefix="1">
      <alignment horizontal="left"/>
    </xf>
    <xf numFmtId="1" fontId="1" fillId="4"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9" fontId="1" fillId="0" borderId="1" xfId="0" applyNumberFormat="1" applyFont="1" applyBorder="1" applyAlignment="1">
      <alignment horizontal="right"/>
    </xf>
    <xf numFmtId="37" fontId="1" fillId="0" borderId="1" xfId="0" applyFont="1" applyBorder="1" applyAlignment="1" quotePrefix="1">
      <alignment horizontal="left"/>
    </xf>
    <xf numFmtId="37" fontId="5" fillId="3" borderId="1" xfId="0" applyFont="1" applyFill="1" applyBorder="1" applyAlignment="1">
      <alignment horizontal="center"/>
    </xf>
    <xf numFmtId="37" fontId="5" fillId="6" borderId="1" xfId="0" applyFont="1" applyFill="1" applyBorder="1" applyAlignment="1">
      <alignment horizontal="center"/>
    </xf>
    <xf numFmtId="37" fontId="5" fillId="0" borderId="1" xfId="0" applyFont="1" applyBorder="1" applyAlignment="1" applyProtection="1">
      <alignment horizontal="center"/>
      <protection/>
    </xf>
    <xf numFmtId="37" fontId="5" fillId="5" borderId="5" xfId="0" applyFont="1" applyFill="1" applyBorder="1" applyAlignment="1" applyProtection="1">
      <alignment horizontal="center"/>
      <protection/>
    </xf>
    <xf numFmtId="37" fontId="5" fillId="5" borderId="15" xfId="0" applyFont="1" applyFill="1" applyBorder="1" applyAlignment="1" applyProtection="1">
      <alignment horizontal="centerContinuous"/>
      <protection/>
    </xf>
    <xf numFmtId="37" fontId="1" fillId="5" borderId="4"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1" fillId="3" borderId="2" xfId="0" applyFont="1" applyFill="1" applyBorder="1" applyAlignment="1" applyProtection="1" quotePrefix="1">
      <alignment horizontal="centerContinuous"/>
      <protection/>
    </xf>
    <xf numFmtId="37" fontId="1" fillId="0" borderId="2" xfId="0" applyFont="1" applyBorder="1" applyAlignment="1" quotePrefix="1">
      <alignment horizontal="centerContinuous"/>
    </xf>
    <xf numFmtId="37" fontId="1" fillId="0" borderId="3" xfId="0" applyFont="1" applyBorder="1" applyAlignment="1">
      <alignment horizontal="centerContinuous"/>
    </xf>
    <xf numFmtId="37" fontId="5" fillId="5" borderId="26" xfId="0" applyFont="1" applyFill="1" applyBorder="1" applyAlignment="1" applyProtection="1">
      <alignment horizontal="centerContinuous"/>
      <protection/>
    </xf>
    <xf numFmtId="37" fontId="1" fillId="0" borderId="0" xfId="0" applyFont="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6" fillId="0" borderId="2" xfId="0" applyFont="1" applyBorder="1" applyAlignment="1" applyProtection="1">
      <alignment/>
      <protection locked="0"/>
    </xf>
    <xf numFmtId="37" fontId="5" fillId="5" borderId="4" xfId="0" applyFont="1" applyFill="1" applyBorder="1" applyAlignment="1">
      <alignment horizontal="centerContinuous"/>
    </xf>
    <xf numFmtId="37" fontId="5" fillId="5" borderId="0" xfId="0" applyFont="1" applyFill="1" applyBorder="1" applyAlignment="1">
      <alignment horizontal="centerContinuous"/>
    </xf>
    <xf numFmtId="0" fontId="5" fillId="3" borderId="13" xfId="0" applyNumberFormat="1" applyFont="1" applyFill="1" applyBorder="1" applyAlignment="1">
      <alignment/>
    </xf>
    <xf numFmtId="0" fontId="5" fillId="3" borderId="8" xfId="0" applyNumberFormat="1" applyFont="1" applyFill="1" applyBorder="1" applyAlignment="1">
      <alignment/>
    </xf>
    <xf numFmtId="49" fontId="0" fillId="0" borderId="0" xfId="0" applyNumberFormat="1" applyAlignment="1">
      <alignment horizontal="right"/>
    </xf>
    <xf numFmtId="49" fontId="19" fillId="0" borderId="0" xfId="0" applyNumberFormat="1" applyFont="1" applyAlignment="1">
      <alignment/>
    </xf>
    <xf numFmtId="37" fontId="13" fillId="3" borderId="11" xfId="0" applyFont="1" applyFill="1" applyBorder="1" applyAlignment="1">
      <alignment horizontal="left"/>
    </xf>
    <xf numFmtId="39" fontId="1" fillId="0" borderId="0" xfId="0" applyNumberFormat="1" applyFont="1" applyAlignment="1">
      <alignment/>
    </xf>
    <xf numFmtId="37" fontId="1" fillId="0" borderId="6" xfId="0" applyFont="1" applyBorder="1" applyAlignment="1">
      <alignment/>
    </xf>
    <xf numFmtId="37" fontId="5" fillId="4" borderId="15" xfId="0" applyFont="1" applyFill="1" applyBorder="1" applyAlignment="1">
      <alignment/>
    </xf>
    <xf numFmtId="37" fontId="5" fillId="4" borderId="13" xfId="0" applyFont="1" applyFill="1" applyBorder="1" applyAlignment="1">
      <alignment/>
    </xf>
    <xf numFmtId="37" fontId="16" fillId="0" borderId="7" xfId="0" applyFont="1" applyBorder="1" applyAlignment="1">
      <alignment horizontal="right" textRotation="180"/>
    </xf>
    <xf numFmtId="49" fontId="1" fillId="0" borderId="0" xfId="0" applyNumberFormat="1" applyFont="1" applyAlignment="1">
      <alignment horizontal="right"/>
    </xf>
    <xf numFmtId="37" fontId="5" fillId="1" borderId="15" xfId="0" applyFont="1" applyFill="1" applyBorder="1" applyAlignment="1">
      <alignment horizontal="centerContinuous"/>
    </xf>
    <xf numFmtId="37" fontId="5" fillId="1" borderId="13" xfId="0" applyFont="1" applyFill="1" applyBorder="1" applyAlignment="1">
      <alignment horizontal="centerContinuous"/>
    </xf>
    <xf numFmtId="37" fontId="5" fillId="1" borderId="15" xfId="0" applyFont="1" applyFill="1" applyBorder="1" applyAlignment="1">
      <alignment/>
    </xf>
    <xf numFmtId="37" fontId="5" fillId="1" borderId="13" xfId="0" applyFont="1" applyFill="1" applyBorder="1" applyAlignment="1">
      <alignment/>
    </xf>
    <xf numFmtId="37" fontId="5" fillId="1" borderId="7" xfId="0" applyFont="1" applyFill="1" applyBorder="1" applyAlignment="1">
      <alignment horizontal="centerContinuous"/>
    </xf>
    <xf numFmtId="37" fontId="5" fillId="1" borderId="8" xfId="0" applyFont="1" applyFill="1" applyBorder="1" applyAlignment="1">
      <alignment horizontal="centerContinuous"/>
    </xf>
    <xf numFmtId="37" fontId="5" fillId="1" borderId="9" xfId="0" applyFont="1" applyFill="1" applyBorder="1" applyAlignment="1">
      <alignment horizontal="centerContinuous"/>
    </xf>
    <xf numFmtId="37" fontId="5" fillId="1" borderId="10" xfId="0" applyFont="1" applyFill="1" applyBorder="1" applyAlignment="1">
      <alignment horizontal="centerContinuous"/>
    </xf>
    <xf numFmtId="49" fontId="5" fillId="7" borderId="5" xfId="0" applyNumberFormat="1" applyFont="1" applyFill="1" applyBorder="1" applyAlignment="1">
      <alignment horizontal="center"/>
    </xf>
    <xf numFmtId="191" fontId="1" fillId="4" borderId="1" xfId="0" applyNumberFormat="1" applyFont="1" applyFill="1" applyBorder="1" applyAlignment="1">
      <alignment/>
    </xf>
    <xf numFmtId="191" fontId="1" fillId="0" borderId="1" xfId="0" applyNumberFormat="1" applyFont="1" applyBorder="1" applyAlignment="1">
      <alignment/>
    </xf>
    <xf numFmtId="191" fontId="5" fillId="4" borderId="5" xfId="0" applyNumberFormat="1" applyFont="1" applyFill="1" applyBorder="1" applyAlignment="1">
      <alignment/>
    </xf>
    <xf numFmtId="37" fontId="1" fillId="4" borderId="1" xfId="0" applyNumberFormat="1" applyFont="1" applyFill="1" applyBorder="1" applyAlignment="1">
      <alignment/>
    </xf>
    <xf numFmtId="37" fontId="1" fillId="0" borderId="1" xfId="0" applyNumberFormat="1" applyFont="1" applyBorder="1" applyAlignment="1">
      <alignment/>
    </xf>
    <xf numFmtId="37" fontId="1" fillId="0" borderId="0" xfId="0" applyNumberFormat="1" applyFont="1" applyAlignment="1">
      <alignment/>
    </xf>
    <xf numFmtId="37" fontId="5" fillId="4" borderId="5" xfId="0" applyNumberFormat="1" applyFont="1" applyFill="1" applyBorder="1" applyAlignment="1">
      <alignment/>
    </xf>
    <xf numFmtId="191" fontId="1" fillId="0" borderId="0" xfId="0" applyNumberFormat="1" applyFont="1" applyAlignment="1">
      <alignment/>
    </xf>
    <xf numFmtId="191" fontId="0" fillId="0" borderId="0" xfId="0" applyNumberFormat="1" applyAlignment="1">
      <alignment/>
    </xf>
    <xf numFmtId="49" fontId="18" fillId="0" borderId="14" xfId="0" applyNumberFormat="1" applyFont="1" applyBorder="1" applyAlignment="1">
      <alignment horizontal="center"/>
    </xf>
    <xf numFmtId="191" fontId="1" fillId="4" borderId="1" xfId="0" applyNumberFormat="1" applyFont="1" applyFill="1" applyBorder="1" applyAlignment="1">
      <alignment horizontal="right"/>
    </xf>
    <xf numFmtId="191" fontId="1" fillId="0" borderId="1" xfId="0" applyNumberFormat="1" applyFont="1" applyBorder="1" applyAlignment="1">
      <alignment horizontal="right"/>
    </xf>
    <xf numFmtId="174" fontId="1" fillId="4" borderId="1" xfId="20" applyNumberFormat="1" applyFont="1" applyFill="1" applyBorder="1" applyAlignment="1">
      <alignment horizontal="right"/>
    </xf>
    <xf numFmtId="191" fontId="1" fillId="4" borderId="24" xfId="0" applyNumberFormat="1" applyFont="1" applyFill="1" applyBorder="1" applyAlignment="1">
      <alignment/>
    </xf>
    <xf numFmtId="191" fontId="1" fillId="0" borderId="24" xfId="0" applyNumberFormat="1" applyFont="1" applyBorder="1" applyAlignment="1">
      <alignment/>
    </xf>
    <xf numFmtId="191" fontId="5" fillId="4" borderId="25" xfId="0" applyNumberFormat="1" applyFont="1" applyFill="1" applyBorder="1" applyAlignment="1">
      <alignment/>
    </xf>
    <xf numFmtId="37" fontId="1" fillId="4" borderId="4" xfId="0" applyFont="1" applyFill="1" applyBorder="1" applyAlignment="1">
      <alignment/>
    </xf>
    <xf numFmtId="172" fontId="0" fillId="0" borderId="0" xfId="0" applyNumberFormat="1" applyAlignment="1">
      <alignment horizontal="right"/>
    </xf>
    <xf numFmtId="3" fontId="0" fillId="0" borderId="0" xfId="0" applyNumberFormat="1" applyAlignment="1">
      <alignment horizontal="right"/>
    </xf>
    <xf numFmtId="193" fontId="1" fillId="4" borderId="1" xfId="0" applyNumberFormat="1" applyFont="1" applyFill="1" applyBorder="1" applyAlignment="1">
      <alignment/>
    </xf>
    <xf numFmtId="193" fontId="1" fillId="0" borderId="1" xfId="0" applyNumberFormat="1" applyFont="1" applyBorder="1" applyAlignment="1">
      <alignment/>
    </xf>
    <xf numFmtId="193" fontId="1" fillId="0" borderId="0" xfId="0" applyNumberFormat="1" applyFont="1" applyAlignment="1">
      <alignment/>
    </xf>
    <xf numFmtId="193" fontId="5" fillId="4" borderId="5" xfId="0" applyNumberFormat="1" applyFont="1" applyFill="1" applyBorder="1" applyAlignment="1">
      <alignment/>
    </xf>
    <xf numFmtId="37" fontId="5" fillId="3" borderId="12" xfId="0" applyFont="1" applyFill="1" applyBorder="1" applyAlignment="1">
      <alignment/>
    </xf>
    <xf numFmtId="37" fontId="4" fillId="0" borderId="11" xfId="0" applyFont="1" applyBorder="1" applyAlignment="1">
      <alignment horizontal="centerContinuous"/>
    </xf>
    <xf numFmtId="37" fontId="0" fillId="0" borderId="2" xfId="0" applyBorder="1" applyAlignment="1">
      <alignment horizontal="centerContinuous"/>
    </xf>
    <xf numFmtId="49" fontId="4" fillId="0" borderId="5" xfId="0" applyNumberFormat="1" applyFont="1" applyBorder="1" applyAlignment="1">
      <alignment horizontal="center"/>
    </xf>
    <xf numFmtId="37" fontId="5" fillId="3" borderId="4" xfId="0" applyFont="1" applyFill="1" applyBorder="1" applyAlignment="1">
      <alignment horizontal="centerContinuous"/>
    </xf>
    <xf numFmtId="37" fontId="5" fillId="0" borderId="3" xfId="0" applyFont="1" applyBorder="1" applyAlignment="1">
      <alignment horizontal="centerContinuous"/>
    </xf>
    <xf numFmtId="37" fontId="5" fillId="4" borderId="6" xfId="0" applyFont="1" applyFill="1" applyBorder="1" applyAlignment="1">
      <alignment horizontal="center"/>
    </xf>
    <xf numFmtId="37" fontId="5" fillId="3" borderId="13" xfId="0" applyFont="1" applyFill="1" applyBorder="1" applyAlignment="1">
      <alignment/>
    </xf>
    <xf numFmtId="37" fontId="5" fillId="4" borderId="27" xfId="0" applyFont="1" applyFill="1" applyBorder="1" applyAlignment="1">
      <alignment horizontal="center"/>
    </xf>
    <xf numFmtId="37" fontId="5" fillId="3" borderId="28" xfId="0" applyFont="1" applyFill="1" applyBorder="1" applyAlignment="1">
      <alignment horizontal="centerContinuous"/>
    </xf>
    <xf numFmtId="37" fontId="5" fillId="0" borderId="29" xfId="0" applyFont="1" applyBorder="1" applyAlignment="1">
      <alignment horizontal="centerContinuous"/>
    </xf>
    <xf numFmtId="49" fontId="4" fillId="0" borderId="6" xfId="0" applyNumberFormat="1" applyFont="1" applyBorder="1" applyAlignment="1">
      <alignment horizontal="center"/>
    </xf>
    <xf numFmtId="37" fontId="0" fillId="0" borderId="30" xfId="0" applyBorder="1" applyAlignment="1">
      <alignment horizontal="centerContinuous"/>
    </xf>
    <xf numFmtId="191" fontId="1" fillId="4" borderId="7" xfId="0" applyNumberFormat="1" applyFont="1" applyFill="1" applyBorder="1" applyAlignment="1">
      <alignment/>
    </xf>
    <xf numFmtId="191" fontId="1" fillId="0" borderId="7" xfId="0" applyNumberFormat="1" applyFont="1" applyBorder="1" applyAlignment="1">
      <alignment/>
    </xf>
    <xf numFmtId="175" fontId="1" fillId="4" borderId="31" xfId="0" applyNumberFormat="1" applyFont="1" applyFill="1" applyBorder="1" applyAlignment="1">
      <alignment/>
    </xf>
    <xf numFmtId="175" fontId="1" fillId="0" borderId="31" xfId="0" applyNumberFormat="1" applyFont="1" applyBorder="1" applyAlignment="1">
      <alignment/>
    </xf>
    <xf numFmtId="191" fontId="5" fillId="4" borderId="11" xfId="0" applyNumberFormat="1" applyFont="1" applyFill="1" applyBorder="1" applyAlignment="1">
      <alignment/>
    </xf>
    <xf numFmtId="175" fontId="5" fillId="4" borderId="32" xfId="0" applyNumberFormat="1" applyFont="1" applyFill="1" applyBorder="1" applyAlignment="1">
      <alignment/>
    </xf>
    <xf numFmtId="37" fontId="1" fillId="4" borderId="1" xfId="0" applyNumberFormat="1" applyFont="1" applyFill="1" applyBorder="1" applyAlignment="1" applyProtection="1">
      <alignment/>
      <protection/>
    </xf>
    <xf numFmtId="49" fontId="11" fillId="0" borderId="7" xfId="0" applyNumberFormat="1" applyFont="1" applyBorder="1" applyAlignment="1">
      <alignment horizontal="right" vertical="center" textRotation="180"/>
    </xf>
    <xf numFmtId="49" fontId="21" fillId="0" borderId="7" xfId="0" applyNumberFormat="1" applyFont="1" applyBorder="1" applyAlignment="1">
      <alignment horizontal="right" vertical="center"/>
    </xf>
    <xf numFmtId="49" fontId="11" fillId="0" borderId="33" xfId="0" applyNumberFormat="1" applyFont="1" applyBorder="1" applyAlignment="1">
      <alignment horizontal="right" vertical="top" textRotation="180"/>
    </xf>
    <xf numFmtId="37" fontId="21" fillId="0" borderId="33" xfId="0" applyFont="1" applyBorder="1" applyAlignment="1">
      <alignment horizontal="right" vertical="top" textRotation="180"/>
    </xf>
    <xf numFmtId="49" fontId="11" fillId="0" borderId="33" xfId="0" applyNumberFormat="1" applyFont="1" applyBorder="1" applyAlignment="1">
      <alignment horizontal="right" vertical="center" textRotation="180"/>
    </xf>
    <xf numFmtId="37" fontId="21" fillId="0" borderId="33" xfId="0" applyFont="1" applyBorder="1" applyAlignment="1">
      <alignment horizontal="right" vertical="center" textRotation="180"/>
    </xf>
    <xf numFmtId="37" fontId="12" fillId="8" borderId="0" xfId="0" applyFont="1" applyFill="1" applyAlignment="1">
      <alignment/>
    </xf>
    <xf numFmtId="37" fontId="12" fillId="0" borderId="0" xfId="0" applyFont="1" applyAlignment="1">
      <alignment/>
    </xf>
    <xf numFmtId="37" fontId="14" fillId="8" borderId="0" xfId="0" applyFont="1" applyFill="1" applyAlignment="1">
      <alignment horizontal="center"/>
    </xf>
    <xf numFmtId="37" fontId="12" fillId="8" borderId="0" xfId="0" applyFont="1" applyFill="1" applyAlignment="1">
      <alignment/>
    </xf>
    <xf numFmtId="37" fontId="12" fillId="8" borderId="0" xfId="0" applyFont="1" applyFill="1" applyAlignment="1">
      <alignment wrapText="1"/>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6"/>
  <sheetViews>
    <sheetView showGridLines="0" showRowColHeaders="0" showZeros="0" tabSelected="1" workbookViewId="0" topLeftCell="A1">
      <selection activeCell="B1" sqref="B1"/>
    </sheetView>
  </sheetViews>
  <sheetFormatPr defaultColWidth="9.33203125" defaultRowHeight="12"/>
  <cols>
    <col min="1" max="1" width="9.33203125" style="455" customWidth="1"/>
    <col min="2" max="2" width="112.16015625" style="455" customWidth="1"/>
    <col min="3" max="16384" width="9.33203125" style="455" customWidth="1"/>
  </cols>
  <sheetData>
    <row r="1" spans="1:3" ht="0.75" customHeight="1">
      <c r="A1" s="454"/>
      <c r="B1" s="454"/>
      <c r="C1" s="454"/>
    </row>
    <row r="2" spans="1:3" ht="14.25">
      <c r="A2" s="454"/>
      <c r="B2" s="454"/>
      <c r="C2" s="454"/>
    </row>
    <row r="3" spans="1:3" ht="15">
      <c r="A3" s="454"/>
      <c r="B3" s="456" t="s">
        <v>526</v>
      </c>
      <c r="C3" s="454"/>
    </row>
    <row r="4" spans="1:3" ht="14.25">
      <c r="A4" s="454"/>
      <c r="B4" s="454"/>
      <c r="C4" s="454"/>
    </row>
    <row r="5" spans="1:3" ht="14.25">
      <c r="A5" s="454"/>
      <c r="B5" s="457" t="s">
        <v>522</v>
      </c>
      <c r="C5" s="457"/>
    </row>
    <row r="6" spans="1:3" ht="14.25">
      <c r="A6" s="454"/>
      <c r="B6" s="454"/>
      <c r="C6" s="454"/>
    </row>
    <row r="7" spans="1:3" ht="14.25">
      <c r="A7" s="454"/>
      <c r="B7" s="458" t="s">
        <v>523</v>
      </c>
      <c r="C7" s="454"/>
    </row>
    <row r="8" spans="1:3" ht="14.25">
      <c r="A8" s="454"/>
      <c r="B8" s="458"/>
      <c r="C8" s="454"/>
    </row>
    <row r="9" spans="1:3" ht="14.25">
      <c r="A9" s="454"/>
      <c r="B9" s="454"/>
      <c r="C9" s="454"/>
    </row>
    <row r="10" spans="1:3" ht="14.25">
      <c r="A10" s="454"/>
      <c r="B10" s="458" t="s">
        <v>524</v>
      </c>
      <c r="C10" s="454"/>
    </row>
    <row r="11" spans="1:3" ht="14.25">
      <c r="A11" s="454"/>
      <c r="B11" s="458"/>
      <c r="C11" s="454"/>
    </row>
    <row r="12" spans="1:3" ht="14.25">
      <c r="A12" s="454"/>
      <c r="B12" s="458"/>
      <c r="C12" s="454"/>
    </row>
    <row r="13" spans="1:3" ht="14.25">
      <c r="A13" s="454"/>
      <c r="B13" s="454"/>
      <c r="C13" s="454"/>
    </row>
    <row r="14" spans="1:3" ht="14.25">
      <c r="A14" s="454"/>
      <c r="B14" s="458" t="s">
        <v>525</v>
      </c>
      <c r="C14" s="454"/>
    </row>
    <row r="15" spans="1:3" ht="14.25">
      <c r="A15" s="454"/>
      <c r="B15" s="458"/>
      <c r="C15" s="454"/>
    </row>
    <row r="16" spans="1:3" ht="14.25">
      <c r="A16" s="454"/>
      <c r="B16" s="454"/>
      <c r="C16" s="454"/>
    </row>
    <row r="17" spans="1:3" ht="14.25">
      <c r="A17" s="454"/>
      <c r="B17" s="458" t="s">
        <v>527</v>
      </c>
      <c r="C17" s="454"/>
    </row>
    <row r="18" spans="1:3" ht="14.25">
      <c r="A18" s="454"/>
      <c r="B18" s="458"/>
      <c r="C18" s="454"/>
    </row>
    <row r="19" spans="1:3" ht="14.25">
      <c r="A19" s="454"/>
      <c r="B19" s="458"/>
      <c r="C19" s="454"/>
    </row>
    <row r="20" spans="1:3" ht="14.25">
      <c r="A20" s="454"/>
      <c r="B20" s="458"/>
      <c r="C20" s="454"/>
    </row>
    <row r="21" spans="1:3" ht="14.25">
      <c r="A21" s="454"/>
      <c r="B21" s="457"/>
      <c r="C21" s="454"/>
    </row>
    <row r="22" spans="1:3" ht="14.25">
      <c r="A22" s="454"/>
      <c r="B22" s="457"/>
      <c r="C22" s="454"/>
    </row>
    <row r="23" spans="1:3" ht="14.25">
      <c r="A23" s="454"/>
      <c r="B23" s="454"/>
      <c r="C23" s="454"/>
    </row>
    <row r="24" spans="1:3" ht="14.25">
      <c r="A24" s="454"/>
      <c r="B24" s="454"/>
      <c r="C24" s="454"/>
    </row>
    <row r="25" spans="1:3" ht="14.25">
      <c r="A25" s="454"/>
      <c r="B25" s="454"/>
      <c r="C25" s="454"/>
    </row>
    <row r="26" spans="1:3" ht="14.25">
      <c r="A26" s="454"/>
      <c r="B26" s="454"/>
      <c r="C26" s="454"/>
    </row>
  </sheetData>
  <mergeCells count="4">
    <mergeCell ref="B7:B8"/>
    <mergeCell ref="B10:B12"/>
    <mergeCell ref="B14:B15"/>
    <mergeCell ref="B17:B20"/>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4"/>
  <sheetViews>
    <sheetView showGridLines="0" showZeros="0" workbookViewId="0" topLeftCell="A1">
      <selection activeCell="A1" sqref="A1"/>
    </sheetView>
  </sheetViews>
  <sheetFormatPr defaultColWidth="14.83203125" defaultRowHeight="12"/>
  <cols>
    <col min="1" max="1" width="6.83203125" style="79" customWidth="1"/>
    <col min="2" max="2" width="52.83203125" style="79" customWidth="1"/>
    <col min="3" max="3" width="23.83203125" style="79" customWidth="1"/>
    <col min="4" max="4" width="7.83203125" style="79" customWidth="1"/>
    <col min="5" max="5" width="16.83203125" style="79" customWidth="1"/>
    <col min="6" max="6" width="7.83203125" style="79" customWidth="1"/>
    <col min="7" max="7" width="16.83203125" style="79" customWidth="1"/>
    <col min="8" max="8" width="7.83203125" style="79" customWidth="1"/>
    <col min="9" max="9" width="12.83203125" style="79" customWidth="1"/>
    <col min="10" max="10" width="7.83203125" style="79" customWidth="1"/>
    <col min="11" max="11" width="16.83203125" style="79" customWidth="1"/>
    <col min="12" max="12" width="8.83203125" style="79" customWidth="1"/>
    <col min="13" max="13" width="6.83203125" style="79" customWidth="1"/>
    <col min="14" max="14" width="45.66015625" style="79" bestFit="1" customWidth="1"/>
    <col min="15" max="16384" width="14.83203125" style="79" customWidth="1"/>
  </cols>
  <sheetData>
    <row r="2" spans="1:12" ht="12.75">
      <c r="A2" s="171"/>
      <c r="B2" s="171"/>
      <c r="C2" s="171"/>
      <c r="D2" s="123" t="str">
        <f>YEAR</f>
        <v>OPERATING FUND ACTUAL 2001/2002</v>
      </c>
      <c r="E2" s="123"/>
      <c r="F2" s="123"/>
      <c r="G2" s="104"/>
      <c r="H2" s="104"/>
      <c r="I2" s="104"/>
      <c r="J2" s="104"/>
      <c r="K2" s="282"/>
      <c r="L2" s="105" t="s">
        <v>261</v>
      </c>
    </row>
    <row r="3" spans="11:12" ht="12.75">
      <c r="K3" s="170"/>
      <c r="L3" s="170"/>
    </row>
    <row r="4" spans="3:12" ht="15.75">
      <c r="C4" s="315" t="s">
        <v>262</v>
      </c>
      <c r="D4" s="170"/>
      <c r="E4" s="170"/>
      <c r="F4" s="170"/>
      <c r="G4" s="170"/>
      <c r="H4" s="170"/>
      <c r="I4" s="170"/>
      <c r="J4" s="170"/>
      <c r="K4" s="170"/>
      <c r="L4" s="170"/>
    </row>
    <row r="5" spans="3:12" ht="15.75">
      <c r="C5" s="315" t="s">
        <v>263</v>
      </c>
      <c r="D5" s="170"/>
      <c r="E5" s="170"/>
      <c r="F5" s="170"/>
      <c r="G5" s="170"/>
      <c r="H5" s="170"/>
      <c r="I5" s="170"/>
      <c r="J5" s="170"/>
      <c r="K5" s="170"/>
      <c r="L5" s="170"/>
    </row>
    <row r="7" spans="3:10" ht="12.75">
      <c r="C7" s="122" t="s">
        <v>264</v>
      </c>
      <c r="D7" s="104"/>
      <c r="E7" s="104"/>
      <c r="F7" s="104"/>
      <c r="G7" s="104"/>
      <c r="H7" s="104"/>
      <c r="I7" s="104"/>
      <c r="J7" s="129"/>
    </row>
    <row r="8" ht="12.75">
      <c r="C8" s="283"/>
    </row>
    <row r="9" spans="1:12" ht="12.75">
      <c r="A9" s="139"/>
      <c r="B9" s="139"/>
      <c r="C9" s="64" t="s">
        <v>30</v>
      </c>
      <c r="D9" s="63"/>
      <c r="E9" s="62" t="s">
        <v>31</v>
      </c>
      <c r="F9" s="63"/>
      <c r="G9" s="62" t="s">
        <v>32</v>
      </c>
      <c r="H9" s="63"/>
      <c r="I9" s="180"/>
      <c r="J9" s="202"/>
      <c r="K9" s="127"/>
      <c r="L9" s="202"/>
    </row>
    <row r="10" spans="1:12" ht="12.75">
      <c r="A10" s="139"/>
      <c r="B10" s="139"/>
      <c r="C10" s="65" t="s">
        <v>45</v>
      </c>
      <c r="D10" s="67"/>
      <c r="E10" s="66" t="s">
        <v>67</v>
      </c>
      <c r="F10" s="67"/>
      <c r="G10" s="66" t="s">
        <v>68</v>
      </c>
      <c r="H10" s="67"/>
      <c r="I10" s="66" t="s">
        <v>69</v>
      </c>
      <c r="J10" s="207"/>
      <c r="K10" s="66" t="s">
        <v>70</v>
      </c>
      <c r="L10" s="207"/>
    </row>
    <row r="11" spans="1:12" ht="12.75">
      <c r="A11" s="139"/>
      <c r="B11" s="139"/>
      <c r="C11" s="284" t="s">
        <v>103</v>
      </c>
      <c r="D11" s="284" t="s">
        <v>104</v>
      </c>
      <c r="E11" s="284" t="s">
        <v>103</v>
      </c>
      <c r="F11" s="284" t="s">
        <v>104</v>
      </c>
      <c r="G11" s="284" t="s">
        <v>103</v>
      </c>
      <c r="H11" s="284" t="s">
        <v>104</v>
      </c>
      <c r="I11" s="284" t="s">
        <v>103</v>
      </c>
      <c r="J11" s="255" t="s">
        <v>104</v>
      </c>
      <c r="K11" s="284" t="s">
        <v>103</v>
      </c>
      <c r="L11" s="255" t="s">
        <v>104</v>
      </c>
    </row>
    <row r="12" spans="1:12" ht="4.5" customHeight="1">
      <c r="A12" s="139"/>
      <c r="B12" s="139"/>
      <c r="C12" s="139"/>
      <c r="D12" s="139"/>
      <c r="E12" s="139"/>
      <c r="F12" s="139"/>
      <c r="G12" s="139"/>
      <c r="H12" s="139"/>
      <c r="I12" s="139"/>
      <c r="J12" s="139"/>
      <c r="K12" s="139"/>
      <c r="L12" s="139"/>
    </row>
    <row r="13" spans="1:15" ht="12.75">
      <c r="A13" s="178">
        <v>300</v>
      </c>
      <c r="B13" s="324" t="s">
        <v>254</v>
      </c>
      <c r="C13" s="319">
        <f>SUM(C14:C21)</f>
        <v>49498860.66</v>
      </c>
      <c r="D13" s="320">
        <f>C13/$K$54</f>
        <v>0.038147594367776226</v>
      </c>
      <c r="E13" s="319">
        <f>SUM(E14:E21)</f>
        <v>24163588.4</v>
      </c>
      <c r="F13" s="320">
        <f>E13/$K$54</f>
        <v>0.018622302745202275</v>
      </c>
      <c r="G13" s="319">
        <f>SUM(G14:G21)</f>
        <v>66612202.13999999</v>
      </c>
      <c r="H13" s="320">
        <f>G13/$K$54</f>
        <v>0.05133643953212226</v>
      </c>
      <c r="I13" s="319"/>
      <c r="J13" s="320"/>
      <c r="K13" s="319">
        <f>SUM(G13,E13,C13,'- 12 -'!K13,'- 12 -'!I13,'- 12 -'!G13,'- 12 -'!E13,'- 12 -'!C13)</f>
        <v>977466614.6400001</v>
      </c>
      <c r="L13" s="320">
        <f aca="true" t="shared" si="0" ref="L13:L21">K13/$K$54</f>
        <v>0.753310266663624</v>
      </c>
      <c r="N13" s="79" t="s">
        <v>254</v>
      </c>
      <c r="O13" s="98">
        <f>L13</f>
        <v>0.753310266663624</v>
      </c>
    </row>
    <row r="14" spans="1:15" ht="12.75">
      <c r="A14" s="139"/>
      <c r="B14" s="305" t="s">
        <v>266</v>
      </c>
      <c r="C14" s="319"/>
      <c r="D14" s="320"/>
      <c r="E14" s="319"/>
      <c r="F14" s="320"/>
      <c r="G14" s="319"/>
      <c r="H14" s="320"/>
      <c r="I14" s="319"/>
      <c r="J14" s="320"/>
      <c r="K14" s="319">
        <f>SUM(G14,E14,C14,'- 12 -'!K14,'- 12 -'!I14,'- 12 -'!G14,'- 12 -'!E14,'- 12 -'!C14)</f>
        <v>3251154.07</v>
      </c>
      <c r="L14" s="320">
        <f t="shared" si="0"/>
        <v>0.002505587099093136</v>
      </c>
      <c r="N14" s="79" t="s">
        <v>323</v>
      </c>
      <c r="O14" s="98">
        <f>L23</f>
        <v>0.06093742846329328</v>
      </c>
    </row>
    <row r="15" spans="1:15" ht="12.75">
      <c r="A15" s="139"/>
      <c r="B15" s="305" t="s">
        <v>267</v>
      </c>
      <c r="C15" s="319">
        <v>3046115.68</v>
      </c>
      <c r="D15" s="320">
        <f>C15/$K$54</f>
        <v>0.002347568889638416</v>
      </c>
      <c r="E15" s="319">
        <v>1758768.68</v>
      </c>
      <c r="F15" s="320">
        <f>E15/$K$54</f>
        <v>0.0013554411818130366</v>
      </c>
      <c r="G15" s="319">
        <v>3390155.97</v>
      </c>
      <c r="H15" s="320">
        <f>G15/$K$54</f>
        <v>0.002612712556666248</v>
      </c>
      <c r="I15" s="319"/>
      <c r="J15" s="320"/>
      <c r="K15" s="319">
        <f>SUM(G15,E15,C15,'- 12 -'!K15,'- 12 -'!I15,'- 12 -'!G15,'- 12 -'!E15,'- 12 -'!C15)</f>
        <v>79777561.94</v>
      </c>
      <c r="L15" s="320">
        <f t="shared" si="0"/>
        <v>0.06148266913538416</v>
      </c>
      <c r="N15" s="79" t="s">
        <v>234</v>
      </c>
      <c r="O15" s="98">
        <f>L25</f>
        <v>0.09791586532584358</v>
      </c>
    </row>
    <row r="16" spans="1:15" ht="12.75">
      <c r="A16" s="139"/>
      <c r="B16" s="305" t="s">
        <v>268</v>
      </c>
      <c r="C16" s="319">
        <v>31260370.11</v>
      </c>
      <c r="D16" s="320">
        <f>C16/$K$54</f>
        <v>0.024091623581681775</v>
      </c>
      <c r="E16" s="319"/>
      <c r="F16" s="320">
        <f>E16/$K$54</f>
        <v>0</v>
      </c>
      <c r="G16" s="319"/>
      <c r="H16" s="320">
        <f>G16/$K$54</f>
        <v>0</v>
      </c>
      <c r="I16" s="319"/>
      <c r="J16" s="320"/>
      <c r="K16" s="319">
        <f>SUM(G16,E16,C16,'- 12 -'!K16,'- 12 -'!I16,'- 12 -'!G16,'- 12 -'!E16,'- 12 -'!C16)</f>
        <v>646038802.21</v>
      </c>
      <c r="L16" s="320">
        <f t="shared" si="0"/>
        <v>0.49788673605706985</v>
      </c>
      <c r="N16" s="79" t="s">
        <v>324</v>
      </c>
      <c r="O16" s="98">
        <f>L42</f>
        <v>0.06956952868792364</v>
      </c>
    </row>
    <row r="17" spans="1:15" ht="12.75">
      <c r="A17" s="139"/>
      <c r="B17" s="305" t="s">
        <v>269</v>
      </c>
      <c r="C17" s="319">
        <v>7080021.43</v>
      </c>
      <c r="D17" s="320">
        <f>C17/$K$54</f>
        <v>0.005456404087398705</v>
      </c>
      <c r="E17" s="319">
        <v>134721</v>
      </c>
      <c r="F17" s="320">
        <f>E17/$K$54</f>
        <v>0.00010382626978269486</v>
      </c>
      <c r="G17" s="319"/>
      <c r="H17" s="320">
        <f>G17/$K$54</f>
        <v>0</v>
      </c>
      <c r="I17" s="319"/>
      <c r="J17" s="320"/>
      <c r="K17" s="319">
        <f>SUM(G17,E17,C17,'- 12 -'!K17,'- 12 -'!I17,'- 12 -'!G17,'- 12 -'!E17,'- 12 -'!C17)</f>
        <v>91882652.42</v>
      </c>
      <c r="L17" s="320">
        <f t="shared" si="0"/>
        <v>0.07081177439677927</v>
      </c>
      <c r="N17" s="79" t="s">
        <v>85</v>
      </c>
      <c r="O17" s="98">
        <f>L50</f>
        <v>0.0017875221634429637</v>
      </c>
    </row>
    <row r="18" spans="1:15" ht="12.75">
      <c r="A18" s="139"/>
      <c r="B18" s="305" t="s">
        <v>270</v>
      </c>
      <c r="C18" s="319">
        <v>4724982</v>
      </c>
      <c r="D18" s="320">
        <f>C18/$K$54</f>
        <v>0.0036414312234200837</v>
      </c>
      <c r="E18" s="319">
        <v>21434473.48</v>
      </c>
      <c r="F18" s="320">
        <f>E18/$K$54</f>
        <v>0.016519038800071988</v>
      </c>
      <c r="G18" s="319">
        <v>62104856.44</v>
      </c>
      <c r="H18" s="320">
        <f>G18/$K$54</f>
        <v>0.04786273542769853</v>
      </c>
      <c r="I18" s="319"/>
      <c r="J18" s="320"/>
      <c r="K18" s="319">
        <f>SUM(G18,E18,C18,'- 12 -'!K18,'- 12 -'!I18,'- 12 -'!G18,'- 12 -'!E18,'- 12 -'!C18)</f>
        <v>94803133.02</v>
      </c>
      <c r="L18" s="320">
        <f t="shared" si="0"/>
        <v>0.07306251931903138</v>
      </c>
      <c r="N18" s="79" t="s">
        <v>115</v>
      </c>
      <c r="O18" s="98">
        <f>L49-O17</f>
        <v>0.01647938869587246</v>
      </c>
    </row>
    <row r="19" spans="2:15" ht="12.75">
      <c r="B19" s="306" t="s">
        <v>271</v>
      </c>
      <c r="C19" s="319">
        <v>2923425.44</v>
      </c>
      <c r="D19" s="322">
        <f>C19/$K$54</f>
        <v>0.0022530144403844496</v>
      </c>
      <c r="E19" s="319">
        <v>835625.24</v>
      </c>
      <c r="F19" s="322">
        <f>E19/$K$54</f>
        <v>0.0006439964935345576</v>
      </c>
      <c r="G19" s="319">
        <v>1096340.73</v>
      </c>
      <c r="H19" s="322">
        <f>G19/$K$54</f>
        <v>0.0008449237194404482</v>
      </c>
      <c r="I19" s="321"/>
      <c r="J19" s="322"/>
      <c r="K19" s="319">
        <f>SUM(G19,E19,C19,'- 12 -'!K19,'- 12 -'!I19,'- 12 -'!G19,'- 12 -'!E19,'- 12 -'!C19)</f>
        <v>40542534.620000005</v>
      </c>
      <c r="L19" s="322">
        <f t="shared" si="0"/>
        <v>0.031245166953410133</v>
      </c>
      <c r="O19" s="98"/>
    </row>
    <row r="20" spans="2:15" ht="12.75">
      <c r="B20" s="349" t="s">
        <v>314</v>
      </c>
      <c r="C20" s="321"/>
      <c r="D20" s="322"/>
      <c r="E20" s="321"/>
      <c r="F20" s="322"/>
      <c r="G20" s="321"/>
      <c r="H20" s="322"/>
      <c r="I20" s="321"/>
      <c r="J20" s="322"/>
      <c r="K20" s="319">
        <f>SUM(G20,E20,C20,'- 12 -'!K20,'- 12 -'!I20,'- 12 -'!G20,'- 12 -'!E20,'- 12 -'!C20)</f>
        <v>14687142.42</v>
      </c>
      <c r="L20" s="322">
        <f t="shared" si="0"/>
        <v>0.011319031266363683</v>
      </c>
      <c r="O20" s="98">
        <f>SUM(O13:O18)</f>
        <v>1</v>
      </c>
    </row>
    <row r="21" spans="2:15" ht="12.75">
      <c r="B21" s="349" t="s">
        <v>344</v>
      </c>
      <c r="C21" s="321">
        <v>463946</v>
      </c>
      <c r="D21" s="322">
        <f>C21/'- 13 -'!$K$54</f>
        <v>0.0003575521452527976</v>
      </c>
      <c r="E21" s="321">
        <v>0</v>
      </c>
      <c r="F21" s="322">
        <f>E21/'- 13 -'!$K$54</f>
        <v>0</v>
      </c>
      <c r="G21" s="321">
        <v>20849</v>
      </c>
      <c r="H21" s="322">
        <f>G21/'- 13 -'!$K$54</f>
        <v>1.6067828317035988E-05</v>
      </c>
      <c r="I21" s="321"/>
      <c r="J21" s="322"/>
      <c r="K21" s="319">
        <f>SUM(G21,E21,C21,'- 12 -'!K21,'- 12 -'!I21,'- 12 -'!G21,'- 12 -'!E21,'- 12 -'!C21)</f>
        <v>6483633.9399999995</v>
      </c>
      <c r="L21" s="322">
        <f t="shared" si="0"/>
        <v>0.004996782436492282</v>
      </c>
      <c r="O21" s="98"/>
    </row>
    <row r="22" spans="3:12" ht="4.5" customHeight="1">
      <c r="C22" s="321"/>
      <c r="D22" s="322"/>
      <c r="E22" s="321"/>
      <c r="F22" s="322"/>
      <c r="G22" s="321"/>
      <c r="H22" s="322"/>
      <c r="I22" s="321"/>
      <c r="J22" s="322"/>
      <c r="K22" s="321"/>
      <c r="L22" s="322"/>
    </row>
    <row r="23" spans="1:12" ht="12.75">
      <c r="A23" s="74">
        <v>400</v>
      </c>
      <c r="B23" s="325" t="s">
        <v>272</v>
      </c>
      <c r="C23" s="319">
        <v>3849621.84</v>
      </c>
      <c r="D23" s="322">
        <f>C23/$K$54</f>
        <v>0.0029668119723071694</v>
      </c>
      <c r="E23" s="319">
        <v>3151178.76</v>
      </c>
      <c r="F23" s="322">
        <f>E23/$K$54</f>
        <v>0.002428538506018051</v>
      </c>
      <c r="G23" s="319">
        <v>9506944.08</v>
      </c>
      <c r="H23" s="322">
        <f>G23/$K$54</f>
        <v>0.007326775638980365</v>
      </c>
      <c r="I23" s="321"/>
      <c r="J23" s="322"/>
      <c r="K23" s="319">
        <f>SUM(G23,E23,C23,'- 12 -'!K23,'- 12 -'!I23,'- 12 -'!G23,'- 12 -'!E23,'- 12 -'!C23)</f>
        <v>79070078.47999999</v>
      </c>
      <c r="L23" s="322">
        <f>K23/$K$54</f>
        <v>0.06093742846329328</v>
      </c>
    </row>
    <row r="24" spans="3:12" ht="4.5" customHeight="1">
      <c r="C24" s="321"/>
      <c r="D24" s="322"/>
      <c r="E24" s="321"/>
      <c r="F24" s="322"/>
      <c r="G24" s="321"/>
      <c r="H24" s="322"/>
      <c r="I24" s="321"/>
      <c r="J24" s="322"/>
      <c r="K24" s="321"/>
      <c r="L24" s="322"/>
    </row>
    <row r="25" spans="1:15" ht="12.75">
      <c r="A25" s="326" t="s">
        <v>273</v>
      </c>
      <c r="B25" s="325" t="s">
        <v>234</v>
      </c>
      <c r="C25" s="321">
        <f>SUM(C26:C40)</f>
        <v>7235161.17</v>
      </c>
      <c r="D25" s="322">
        <f aca="true" t="shared" si="1" ref="D25:D40">C25/$K$54</f>
        <v>0.005575966594352018</v>
      </c>
      <c r="E25" s="321">
        <f>SUM(E26:E40)</f>
        <v>14174479.75</v>
      </c>
      <c r="F25" s="322">
        <f aca="true" t="shared" si="2" ref="F25:F40">E25/$K$54</f>
        <v>0.01092393434247701</v>
      </c>
      <c r="G25" s="321">
        <f>SUM(G26:G40)</f>
        <v>64050263.31999999</v>
      </c>
      <c r="H25" s="322">
        <f aca="true" t="shared" si="3" ref="H25:H40">G25/$K$54</f>
        <v>0.04936201423026079</v>
      </c>
      <c r="I25" s="321"/>
      <c r="J25" s="322"/>
      <c r="K25" s="319">
        <f>SUM(G25,E25,C25,'- 12 -'!K25,'- 12 -'!I25,'- 12 -'!G25,'- 12 -'!E25,'- 12 -'!C25)</f>
        <v>127051885.03999999</v>
      </c>
      <c r="L25" s="322">
        <f aca="true" t="shared" si="4" ref="L25:L40">K25/$K$54</f>
        <v>0.09791586532584358</v>
      </c>
      <c r="N25" s="79" t="s">
        <v>63</v>
      </c>
      <c r="O25" s="98">
        <f>'- 12 -'!D54</f>
        <v>0.5831372482769772</v>
      </c>
    </row>
    <row r="26" spans="2:15" ht="12.75">
      <c r="B26" s="306" t="s">
        <v>274</v>
      </c>
      <c r="C26" s="319">
        <v>1810915.42</v>
      </c>
      <c r="D26" s="322">
        <f t="shared" si="1"/>
        <v>0.0013956294337969743</v>
      </c>
      <c r="E26" s="319">
        <v>201520.78</v>
      </c>
      <c r="F26" s="322">
        <f t="shared" si="2"/>
        <v>0.0001553072711091745</v>
      </c>
      <c r="G26" s="319">
        <v>2055974.94</v>
      </c>
      <c r="H26" s="322">
        <f t="shared" si="3"/>
        <v>0.001584490976068318</v>
      </c>
      <c r="I26" s="321"/>
      <c r="J26" s="322"/>
      <c r="K26" s="319">
        <f>SUM(G26,E26,C26,'- 12 -'!K26,'- 12 -'!I26,'- 12 -'!G26,'- 12 -'!E26,'- 12 -'!C26)</f>
        <v>17080084.669999998</v>
      </c>
      <c r="L26" s="322">
        <f t="shared" si="4"/>
        <v>0.013163214932035023</v>
      </c>
      <c r="N26" s="79" t="s">
        <v>64</v>
      </c>
      <c r="O26" s="98">
        <f>'- 12 -'!F54</f>
        <v>0.13865817220569382</v>
      </c>
    </row>
    <row r="27" spans="2:15" ht="12.75">
      <c r="B27" s="306" t="s">
        <v>275</v>
      </c>
      <c r="C27" s="319">
        <v>129345.05</v>
      </c>
      <c r="D27" s="322">
        <f t="shared" si="1"/>
        <v>9.968315300774309E-05</v>
      </c>
      <c r="E27" s="319">
        <v>228892.98</v>
      </c>
      <c r="F27" s="322">
        <f t="shared" si="2"/>
        <v>0.00017640237448389619</v>
      </c>
      <c r="G27" s="319">
        <v>539722</v>
      </c>
      <c r="H27" s="322">
        <f t="shared" si="3"/>
        <v>0.00041595090579535214</v>
      </c>
      <c r="I27" s="321"/>
      <c r="J27" s="322"/>
      <c r="K27" s="319">
        <f>SUM(G27,E27,C27,'- 12 -'!K27,'- 12 -'!I27,'- 12 -'!G27,'- 12 -'!E27,'- 12 -'!C27)</f>
        <v>5845895.0200000005</v>
      </c>
      <c r="L27" s="322">
        <f t="shared" si="4"/>
        <v>0.004505292222206133</v>
      </c>
      <c r="N27" s="79" t="s">
        <v>445</v>
      </c>
      <c r="O27" s="98">
        <f>'- 12 -'!H54</f>
        <v>0.005599025927891731</v>
      </c>
    </row>
    <row r="28" spans="2:15" ht="12.75">
      <c r="B28" s="306" t="s">
        <v>276</v>
      </c>
      <c r="C28" s="321"/>
      <c r="D28" s="322">
        <f t="shared" si="1"/>
        <v>0</v>
      </c>
      <c r="E28" s="321"/>
      <c r="F28" s="322">
        <f t="shared" si="2"/>
        <v>0</v>
      </c>
      <c r="G28" s="319">
        <v>36075086.120000005</v>
      </c>
      <c r="H28" s="322">
        <f t="shared" si="3"/>
        <v>0.02780221067190023</v>
      </c>
      <c r="I28" s="321"/>
      <c r="J28" s="322"/>
      <c r="K28" s="319">
        <f>SUM(G28,E28,C28,'- 12 -'!K28,'- 12 -'!I28,'- 12 -'!G28,'- 12 -'!E28,'- 12 -'!C28)</f>
        <v>36137007.550000004</v>
      </c>
      <c r="L28" s="322">
        <f t="shared" si="4"/>
        <v>0.027849932044934207</v>
      </c>
      <c r="M28" s="452" t="s">
        <v>465</v>
      </c>
      <c r="N28" s="79" t="s">
        <v>66</v>
      </c>
      <c r="O28" s="98">
        <f>'- 12 -'!J54</f>
        <v>0.0067824877924226</v>
      </c>
    </row>
    <row r="29" spans="2:15" ht="12.75" customHeight="1">
      <c r="B29" s="306" t="s">
        <v>277</v>
      </c>
      <c r="C29" s="319">
        <v>643130.91</v>
      </c>
      <c r="D29" s="322">
        <f t="shared" si="1"/>
        <v>0.0004956456927075218</v>
      </c>
      <c r="E29" s="319">
        <v>627813.51</v>
      </c>
      <c r="F29" s="322">
        <f t="shared" si="2"/>
        <v>0.0004838409369176342</v>
      </c>
      <c r="G29" s="319">
        <v>617372.86</v>
      </c>
      <c r="H29" s="322">
        <f t="shared" si="3"/>
        <v>0.00047579457633831326</v>
      </c>
      <c r="I29" s="321"/>
      <c r="J29" s="322"/>
      <c r="K29" s="319">
        <f>SUM(G29,E29,C29,'- 12 -'!K29,'- 12 -'!I29,'- 12 -'!G29,'- 12 -'!E29,'- 12 -'!C29)</f>
        <v>7165729.8100000005</v>
      </c>
      <c r="L29" s="322">
        <f t="shared" si="4"/>
        <v>0.005522457496922965</v>
      </c>
      <c r="M29" s="453"/>
      <c r="N29" s="79" t="s">
        <v>339</v>
      </c>
      <c r="O29" s="98">
        <f>'- 12 -'!L54</f>
        <v>0.036910117803688275</v>
      </c>
    </row>
    <row r="30" spans="2:15" ht="12.75" customHeight="1">
      <c r="B30" s="306" t="s">
        <v>278</v>
      </c>
      <c r="C30" s="321"/>
      <c r="D30" s="322">
        <f t="shared" si="1"/>
        <v>0</v>
      </c>
      <c r="E30" s="319">
        <v>10795820.72</v>
      </c>
      <c r="F30" s="322">
        <f t="shared" si="2"/>
        <v>0.00832008220396469</v>
      </c>
      <c r="G30" s="321"/>
      <c r="H30" s="322">
        <f t="shared" si="3"/>
        <v>0</v>
      </c>
      <c r="I30" s="321"/>
      <c r="J30" s="322"/>
      <c r="K30" s="319">
        <f>SUM(G30,E30,C30,'- 12 -'!K30,'- 12 -'!I30,'- 12 -'!G30,'- 12 -'!E30,'- 12 -'!C30)</f>
        <v>10795820.72</v>
      </c>
      <c r="L30" s="322">
        <f t="shared" si="4"/>
        <v>0.00832008220396469</v>
      </c>
      <c r="M30" s="453"/>
      <c r="N30" s="79" t="s">
        <v>326</v>
      </c>
      <c r="O30" s="98">
        <f>D54</f>
        <v>0.05154665445448682</v>
      </c>
    </row>
    <row r="31" spans="2:15" ht="12.75" customHeight="1">
      <c r="B31" s="306" t="s">
        <v>279</v>
      </c>
      <c r="C31" s="321"/>
      <c r="D31" s="322">
        <f t="shared" si="1"/>
        <v>0</v>
      </c>
      <c r="E31" s="321"/>
      <c r="F31" s="322">
        <f t="shared" si="2"/>
        <v>0</v>
      </c>
      <c r="G31" s="321"/>
      <c r="H31" s="322">
        <f t="shared" si="3"/>
        <v>0</v>
      </c>
      <c r="I31" s="321"/>
      <c r="J31" s="322"/>
      <c r="K31" s="319">
        <f>SUM(G31,E31,C31,'- 12 -'!K31,'- 12 -'!I31,'- 12 -'!G31,'- 12 -'!E31,'- 12 -'!C31)</f>
        <v>329110</v>
      </c>
      <c r="L31" s="322">
        <f t="shared" si="4"/>
        <v>0.0002536372477058714</v>
      </c>
      <c r="N31" s="79" t="s">
        <v>259</v>
      </c>
      <c r="O31" s="98">
        <f>F54</f>
        <v>0.03934845003216494</v>
      </c>
    </row>
    <row r="32" spans="2:15" ht="12.75" customHeight="1">
      <c r="B32" s="306" t="s">
        <v>280</v>
      </c>
      <c r="C32" s="319">
        <v>87872.14</v>
      </c>
      <c r="D32" s="322">
        <f t="shared" si="1"/>
        <v>6.772096788193921E-05</v>
      </c>
      <c r="E32" s="321"/>
      <c r="F32" s="322">
        <f t="shared" si="2"/>
        <v>0</v>
      </c>
      <c r="G32" s="321"/>
      <c r="H32" s="322">
        <f t="shared" si="3"/>
        <v>0</v>
      </c>
      <c r="I32" s="321"/>
      <c r="J32" s="322"/>
      <c r="K32" s="319">
        <f>SUM(G32,E32,C32,'- 12 -'!K32,'- 12 -'!I32,'- 12 -'!G32,'- 12 -'!E32,'- 12 -'!C32)</f>
        <v>1203000.75</v>
      </c>
      <c r="L32" s="322">
        <f t="shared" si="4"/>
        <v>0.0009271240594880104</v>
      </c>
      <c r="N32" s="79" t="s">
        <v>325</v>
      </c>
      <c r="O32" s="98">
        <f>H54</f>
        <v>0.11975093264735906</v>
      </c>
    </row>
    <row r="33" spans="2:15" ht="12.75" customHeight="1">
      <c r="B33" s="306" t="s">
        <v>281</v>
      </c>
      <c r="C33" s="319">
        <v>3899</v>
      </c>
      <c r="D33" s="322">
        <f t="shared" si="1"/>
        <v>3.004866545547667E-06</v>
      </c>
      <c r="E33" s="319">
        <v>711527.28</v>
      </c>
      <c r="F33" s="322">
        <f t="shared" si="2"/>
        <v>0.0005483571479652546</v>
      </c>
      <c r="G33" s="319">
        <v>3878272.01</v>
      </c>
      <c r="H33" s="322">
        <f t="shared" si="3"/>
        <v>0.0029888919767588886</v>
      </c>
      <c r="I33" s="321"/>
      <c r="J33" s="322"/>
      <c r="K33" s="319">
        <f>SUM(G33,E33,C33,'- 12 -'!K33,'- 12 -'!I33,'- 12 -'!G33,'- 12 -'!E33,'- 12 -'!C33)</f>
        <v>5230570.62</v>
      </c>
      <c r="L33" s="322">
        <f t="shared" si="4"/>
        <v>0.004031076345258405</v>
      </c>
      <c r="N33" s="79" t="s">
        <v>69</v>
      </c>
      <c r="O33" s="98">
        <f>J54</f>
        <v>0.018266910859315425</v>
      </c>
    </row>
    <row r="34" spans="2:15" ht="12.75">
      <c r="B34" s="306" t="s">
        <v>282</v>
      </c>
      <c r="C34" s="319">
        <v>147522.03</v>
      </c>
      <c r="D34" s="322">
        <f t="shared" si="1"/>
        <v>0.000113691719076245</v>
      </c>
      <c r="E34" s="319">
        <v>1258094.42</v>
      </c>
      <c r="F34" s="322">
        <f t="shared" si="2"/>
        <v>0.0009695834403175674</v>
      </c>
      <c r="G34" s="319">
        <v>15453555.72</v>
      </c>
      <c r="H34" s="322">
        <f t="shared" si="3"/>
        <v>0.011909687764243343</v>
      </c>
      <c r="I34" s="321"/>
      <c r="J34" s="322"/>
      <c r="K34" s="319">
        <f>SUM(G34,E34,C34,'- 12 -'!K34,'- 12 -'!I34,'- 12 -'!G34,'- 12 -'!E34,'- 12 -'!C34)</f>
        <v>20058020.630000003</v>
      </c>
      <c r="L34" s="322">
        <f t="shared" si="4"/>
        <v>0.01545823933341676</v>
      </c>
      <c r="O34" s="98"/>
    </row>
    <row r="35" spans="2:15" ht="12.75">
      <c r="B35" s="306" t="s">
        <v>283</v>
      </c>
      <c r="C35" s="319">
        <v>98873</v>
      </c>
      <c r="D35" s="322">
        <f t="shared" si="1"/>
        <v>7.619906898126045E-05</v>
      </c>
      <c r="E35" s="319">
        <v>203514.96</v>
      </c>
      <c r="F35" s="322">
        <f t="shared" si="2"/>
        <v>0.00015684413819504273</v>
      </c>
      <c r="G35" s="319">
        <v>1489509.53</v>
      </c>
      <c r="H35" s="322">
        <f t="shared" si="3"/>
        <v>0.001147929560392775</v>
      </c>
      <c r="I35" s="321"/>
      <c r="J35" s="322"/>
      <c r="K35" s="319">
        <f>SUM(G35,E35,C35,'- 12 -'!K35,'- 12 -'!I35,'- 12 -'!G35,'- 12 -'!E35,'- 12 -'!C35)</f>
        <v>5522757.87</v>
      </c>
      <c r="L35" s="322">
        <f t="shared" si="4"/>
        <v>0.004256258107905384</v>
      </c>
      <c r="O35" s="98">
        <f>SUM(O25:O33)</f>
        <v>0.9999999999999999</v>
      </c>
    </row>
    <row r="36" spans="1:12" ht="12.75">
      <c r="A36" s="148"/>
      <c r="B36" s="318" t="s">
        <v>284</v>
      </c>
      <c r="C36" s="321"/>
      <c r="D36" s="322">
        <f t="shared" si="1"/>
        <v>0</v>
      </c>
      <c r="E36" s="321"/>
      <c r="F36" s="322">
        <f t="shared" si="2"/>
        <v>0</v>
      </c>
      <c r="G36" s="319">
        <v>3803202.51</v>
      </c>
      <c r="H36" s="322">
        <f t="shared" si="3"/>
        <v>0.0029310376989591987</v>
      </c>
      <c r="I36" s="321"/>
      <c r="J36" s="322"/>
      <c r="K36" s="319">
        <f>SUM(G36,E36,C36,'- 12 -'!K36,'- 12 -'!I36,'- 12 -'!G36,'- 12 -'!E36,'- 12 -'!C36)</f>
        <v>3805248.51</v>
      </c>
      <c r="L36" s="322">
        <f t="shared" si="4"/>
        <v>0.0029326145024863057</v>
      </c>
    </row>
    <row r="37" spans="2:12" ht="12.75">
      <c r="B37" s="306" t="s">
        <v>285</v>
      </c>
      <c r="C37" s="319">
        <v>5102</v>
      </c>
      <c r="D37" s="322">
        <f>C37/K54</f>
        <v>3.93199002702852E-06</v>
      </c>
      <c r="E37" s="319">
        <v>22349</v>
      </c>
      <c r="F37" s="322">
        <f>E37/K54</f>
        <v>1.7223842633096898E-05</v>
      </c>
      <c r="G37" s="319">
        <v>35252</v>
      </c>
      <c r="H37" s="322">
        <f>G37/K54</f>
        <v>2.7167877779852875E-05</v>
      </c>
      <c r="I37" s="321"/>
      <c r="J37" s="322"/>
      <c r="K37" s="319">
        <f>SUM(G37,E37,C37,'- 12 -'!K37,'- 12 -'!I37,'- 12 -'!G37,'- 12 -'!E37,'- 12 -'!C37)</f>
        <v>1087639.71</v>
      </c>
      <c r="L37" s="322">
        <f t="shared" si="4"/>
        <v>0.00083821805031756</v>
      </c>
    </row>
    <row r="38" spans="2:12" ht="12.75">
      <c r="B38" s="306" t="s">
        <v>286</v>
      </c>
      <c r="C38" s="319">
        <v>258353.13</v>
      </c>
      <c r="D38" s="322">
        <f t="shared" si="1"/>
        <v>0.00019910661125276414</v>
      </c>
      <c r="E38" s="319">
        <v>21893.73</v>
      </c>
      <c r="F38" s="322">
        <f t="shared" si="2"/>
        <v>1.6872976874648197E-05</v>
      </c>
      <c r="G38" s="319">
        <v>16599.79</v>
      </c>
      <c r="H38" s="322">
        <f t="shared" si="3"/>
        <v>1.2793063255736525E-05</v>
      </c>
      <c r="I38" s="321"/>
      <c r="J38" s="322"/>
      <c r="K38" s="319">
        <f>SUM(G38,E38,C38,'- 12 -'!K38,'- 12 -'!I38,'- 12 -'!G38,'- 12 -'!E38,'- 12 -'!C38)</f>
        <v>2658056.0700000003</v>
      </c>
      <c r="L38" s="322">
        <f t="shared" si="4"/>
        <v>0.002048500579875073</v>
      </c>
    </row>
    <row r="39" spans="2:12" ht="12.75">
      <c r="B39" s="349" t="s">
        <v>345</v>
      </c>
      <c r="C39" s="321">
        <v>3727190.82</v>
      </c>
      <c r="D39" s="322">
        <f>C39/'- 13 -'!$K$54</f>
        <v>0.002872457297740543</v>
      </c>
      <c r="E39" s="321">
        <v>97194.27</v>
      </c>
      <c r="F39" s="322">
        <f>E39/'- 13 -'!$K$54</f>
        <v>7.490531170605982E-05</v>
      </c>
      <c r="G39" s="321">
        <v>63687.29</v>
      </c>
      <c r="H39" s="322">
        <f>G39/'- 13 -'!$K$54</f>
        <v>4.908227932741536E-05</v>
      </c>
      <c r="I39" s="321"/>
      <c r="J39" s="322"/>
      <c r="K39" s="319">
        <f>SUM(G39,E39,C39,'- 12 -'!K39,'- 12 -'!I39,'- 12 -'!G39,'- 12 -'!E39,'- 12 -'!C39)</f>
        <v>5092822.199999999</v>
      </c>
      <c r="L39" s="322">
        <f t="shared" si="4"/>
        <v>0.00392491691490189</v>
      </c>
    </row>
    <row r="40" spans="2:12" ht="12.75">
      <c r="B40" s="306" t="s">
        <v>287</v>
      </c>
      <c r="C40" s="319">
        <v>322957.67</v>
      </c>
      <c r="D40" s="322">
        <f t="shared" si="1"/>
        <v>0.0002488957933344507</v>
      </c>
      <c r="E40" s="319">
        <v>5858.1</v>
      </c>
      <c r="F40" s="322">
        <f t="shared" si="2"/>
        <v>4.514698309944291E-06</v>
      </c>
      <c r="G40" s="319">
        <v>22028.55</v>
      </c>
      <c r="H40" s="322">
        <f t="shared" si="3"/>
        <v>1.6976879441375753E-05</v>
      </c>
      <c r="I40" s="321"/>
      <c r="J40" s="322"/>
      <c r="K40" s="319">
        <f>SUM(G40,E40,C40,'- 12 -'!K40,'- 12 -'!I40,'- 12 -'!G40,'- 12 -'!E40,'- 12 -'!C40)</f>
        <v>5040120.91</v>
      </c>
      <c r="L40" s="322">
        <f t="shared" si="4"/>
        <v>0.003884301284425305</v>
      </c>
    </row>
    <row r="41" spans="3:12" ht="4.5" customHeight="1">
      <c r="C41" s="323"/>
      <c r="D41" s="323"/>
      <c r="E41" s="323"/>
      <c r="F41" s="323"/>
      <c r="G41" s="323"/>
      <c r="H41" s="323"/>
      <c r="I41" s="323"/>
      <c r="J41" s="323"/>
      <c r="K41" s="323"/>
      <c r="L41" s="323"/>
    </row>
    <row r="42" spans="1:12" ht="12.75">
      <c r="A42" s="74">
        <v>700</v>
      </c>
      <c r="B42" s="325" t="s">
        <v>288</v>
      </c>
      <c r="C42" s="321">
        <f>SUM(C43:C47)</f>
        <v>6301325.319999999</v>
      </c>
      <c r="D42" s="322">
        <f aca="true" t="shared" si="5" ref="D42:D47">C42/$K$54</f>
        <v>0.0048562815200514095</v>
      </c>
      <c r="E42" s="321">
        <f>SUM(E43:E47)</f>
        <v>9567798.17</v>
      </c>
      <c r="F42" s="322">
        <f aca="true" t="shared" si="6" ref="F42:F47">E42/$K$54</f>
        <v>0.0073736744384676044</v>
      </c>
      <c r="G42" s="321">
        <f>SUM(G43:G47)</f>
        <v>15214824.440000001</v>
      </c>
      <c r="H42" s="322">
        <f aca="true" t="shared" si="7" ref="H42:H47">G42/$K$54</f>
        <v>0.011725703245995646</v>
      </c>
      <c r="I42" s="321"/>
      <c r="J42" s="322"/>
      <c r="K42" s="319">
        <f>SUM(G42,E42,C42,'- 12 -'!K42,'- 12 -'!I42,'- 12 -'!G42,'- 12 -'!E42,'- 12 -'!C42)</f>
        <v>90270761.86</v>
      </c>
      <c r="L42" s="322">
        <f aca="true" t="shared" si="8" ref="L42:L47">K42/$K$54</f>
        <v>0.06956952868792364</v>
      </c>
    </row>
    <row r="43" spans="2:12" ht="12.75">
      <c r="B43" s="306" t="s">
        <v>289</v>
      </c>
      <c r="C43" s="319">
        <v>2788867.38</v>
      </c>
      <c r="D43" s="322">
        <f t="shared" si="5"/>
        <v>0.002149313744583527</v>
      </c>
      <c r="E43" s="319">
        <v>9227827.38</v>
      </c>
      <c r="F43" s="322">
        <f t="shared" si="6"/>
        <v>0.007111667038279246</v>
      </c>
      <c r="G43" s="319">
        <v>12545523.98</v>
      </c>
      <c r="H43" s="322">
        <f t="shared" si="7"/>
        <v>0.009668536882243657</v>
      </c>
      <c r="I43" s="321"/>
      <c r="J43" s="322"/>
      <c r="K43" s="319">
        <f>SUM(G43,E43,C43,'- 12 -'!K43,'- 12 -'!I43,'- 12 -'!G43,'- 12 -'!E43,'- 12 -'!C43)</f>
        <v>47227182.58</v>
      </c>
      <c r="L43" s="322">
        <f t="shared" si="8"/>
        <v>0.03639686611313505</v>
      </c>
    </row>
    <row r="44" spans="2:12" ht="12.75">
      <c r="B44" s="306" t="s">
        <v>351</v>
      </c>
      <c r="C44" s="319">
        <v>2553474.46</v>
      </c>
      <c r="D44" s="322">
        <f t="shared" si="5"/>
        <v>0.0019679020209706064</v>
      </c>
      <c r="E44" s="319">
        <v>5863</v>
      </c>
      <c r="F44" s="322">
        <f t="shared" si="6"/>
        <v>4.518474623376756E-06</v>
      </c>
      <c r="G44" s="319">
        <v>21965</v>
      </c>
      <c r="H44" s="322">
        <f t="shared" si="7"/>
        <v>1.6927902968185306E-05</v>
      </c>
      <c r="I44" s="321"/>
      <c r="J44" s="322"/>
      <c r="K44" s="319">
        <f>SUM(G44,E44,C44,'- 12 -'!K44,'- 12 -'!I44,'- 12 -'!G44,'- 12 -'!E44,'- 12 -'!C44)</f>
        <v>13437206.42</v>
      </c>
      <c r="L44" s="322">
        <f t="shared" si="8"/>
        <v>0.010355735326257075</v>
      </c>
    </row>
    <row r="45" spans="2:12" ht="12.75">
      <c r="B45" s="306" t="s">
        <v>290</v>
      </c>
      <c r="C45" s="319">
        <v>221434.27</v>
      </c>
      <c r="D45" s="322">
        <f t="shared" si="5"/>
        <v>0.00017065412412433173</v>
      </c>
      <c r="E45" s="319">
        <v>283113.54</v>
      </c>
      <c r="F45" s="322">
        <f t="shared" si="6"/>
        <v>0.00021818887020712263</v>
      </c>
      <c r="G45" s="319">
        <v>2393325.46</v>
      </c>
      <c r="H45" s="322">
        <f t="shared" si="7"/>
        <v>0.001844478996502047</v>
      </c>
      <c r="I45" s="321"/>
      <c r="J45" s="322"/>
      <c r="K45" s="319">
        <f>SUM(G45,E45,C45,'- 12 -'!K45,'- 12 -'!I45,'- 12 -'!G45,'- 12 -'!E45,'- 12 -'!C45)</f>
        <v>10932891.92</v>
      </c>
      <c r="L45" s="322">
        <f t="shared" si="8"/>
        <v>0.00842571971697779</v>
      </c>
    </row>
    <row r="46" spans="2:12" ht="12.75">
      <c r="B46" s="306" t="s">
        <v>291</v>
      </c>
      <c r="C46" s="321"/>
      <c r="D46" s="322">
        <f t="shared" si="5"/>
        <v>0</v>
      </c>
      <c r="E46" s="319">
        <v>7548</v>
      </c>
      <c r="F46" s="322">
        <f t="shared" si="6"/>
        <v>5.8170640384185155E-06</v>
      </c>
      <c r="G46" s="319">
        <v>29757</v>
      </c>
      <c r="H46" s="322">
        <f t="shared" si="7"/>
        <v>2.2933012002016397E-05</v>
      </c>
      <c r="I46" s="321"/>
      <c r="J46" s="322"/>
      <c r="K46" s="319">
        <f>SUM(G46,E46,C46,'- 12 -'!K46,'- 12 -'!I46,'- 12 -'!G46,'- 12 -'!E46,'- 12 -'!C46)</f>
        <v>142161</v>
      </c>
      <c r="L46" s="322">
        <f t="shared" si="8"/>
        <v>0.00010956010079035699</v>
      </c>
    </row>
    <row r="47" spans="2:12" ht="12.75">
      <c r="B47" s="306" t="s">
        <v>292</v>
      </c>
      <c r="C47" s="319">
        <v>737549.21</v>
      </c>
      <c r="D47" s="322">
        <f t="shared" si="5"/>
        <v>0.0005684116303729445</v>
      </c>
      <c r="E47" s="319">
        <v>43446.25</v>
      </c>
      <c r="F47" s="322">
        <f t="shared" si="6"/>
        <v>3.3482991319440966E-05</v>
      </c>
      <c r="G47" s="319">
        <v>224253</v>
      </c>
      <c r="H47" s="322">
        <f t="shared" si="7"/>
        <v>0.00017282645227973865</v>
      </c>
      <c r="I47" s="321"/>
      <c r="J47" s="322"/>
      <c r="K47" s="319">
        <f>SUM(G47,E47,C47,'- 12 -'!K47,'- 12 -'!I47,'- 12 -'!G47,'- 12 -'!E47,'- 12 -'!C47)</f>
        <v>18531319.939999998</v>
      </c>
      <c r="L47" s="322">
        <f t="shared" si="8"/>
        <v>0.014281647430763374</v>
      </c>
    </row>
    <row r="48" spans="3:12" ht="4.5" customHeight="1">
      <c r="C48" s="323"/>
      <c r="D48" s="323"/>
      <c r="E48" s="323"/>
      <c r="F48" s="323"/>
      <c r="G48" s="323"/>
      <c r="H48" s="323"/>
      <c r="I48" s="323"/>
      <c r="J48" s="323"/>
      <c r="K48" s="323"/>
      <c r="L48" s="323"/>
    </row>
    <row r="49" spans="1:12" ht="12.75">
      <c r="A49" s="74">
        <v>900</v>
      </c>
      <c r="B49" s="325" t="s">
        <v>115</v>
      </c>
      <c r="C49" s="321"/>
      <c r="D49" s="322"/>
      <c r="E49" s="321"/>
      <c r="F49" s="322"/>
      <c r="G49" s="321"/>
      <c r="H49" s="322"/>
      <c r="I49" s="321">
        <f>SUM(I50:I52)</f>
        <v>23702445.47</v>
      </c>
      <c r="J49" s="322">
        <f>I49/$K$54</f>
        <v>0.018266910859315425</v>
      </c>
      <c r="K49" s="321">
        <f>SUM(I49,E49)</f>
        <v>23702445.47</v>
      </c>
      <c r="L49" s="322">
        <f>K49/$K$54</f>
        <v>0.018266910859315425</v>
      </c>
    </row>
    <row r="50" spans="2:12" ht="12.75">
      <c r="B50" s="306" t="s">
        <v>293</v>
      </c>
      <c r="C50" s="321"/>
      <c r="D50" s="322"/>
      <c r="E50" s="321"/>
      <c r="F50" s="322"/>
      <c r="G50" s="321"/>
      <c r="H50" s="322"/>
      <c r="I50" s="321">
        <f>'- 10 -'!G27</f>
        <v>2319420.45</v>
      </c>
      <c r="J50" s="322">
        <f>I50/$K$54</f>
        <v>0.0017875221634429637</v>
      </c>
      <c r="K50" s="321">
        <f>I50</f>
        <v>2319420.45</v>
      </c>
      <c r="L50" s="322">
        <f>K50/$K$54</f>
        <v>0.0017875221634429637</v>
      </c>
    </row>
    <row r="51" spans="2:12" ht="12.75">
      <c r="B51" s="306" t="s">
        <v>294</v>
      </c>
      <c r="C51" s="321"/>
      <c r="D51" s="322"/>
      <c r="E51" s="321"/>
      <c r="F51" s="322"/>
      <c r="G51" s="321"/>
      <c r="H51" s="322"/>
      <c r="I51" s="321">
        <f>'- 10 -'!H27</f>
        <v>21383025.02</v>
      </c>
      <c r="J51" s="322">
        <f>I51/$K$54</f>
        <v>0.01647938869587246</v>
      </c>
      <c r="K51" s="321">
        <f>I51</f>
        <v>21383025.02</v>
      </c>
      <c r="L51" s="322">
        <f>K51/$K$54</f>
        <v>0.01647938869587246</v>
      </c>
    </row>
    <row r="52" spans="2:12" ht="12.75">
      <c r="B52" s="306" t="s">
        <v>295</v>
      </c>
      <c r="C52" s="321"/>
      <c r="D52" s="322"/>
      <c r="E52" s="321"/>
      <c r="F52" s="322"/>
      <c r="G52" s="321"/>
      <c r="H52" s="322"/>
      <c r="I52" s="321"/>
      <c r="J52" s="322"/>
      <c r="K52" s="321"/>
      <c r="L52" s="322"/>
    </row>
    <row r="53" spans="3:12" ht="4.5" customHeight="1">
      <c r="C53" s="148"/>
      <c r="D53" s="223"/>
      <c r="E53" s="148"/>
      <c r="F53" s="223"/>
      <c r="G53" s="148"/>
      <c r="H53" s="223"/>
      <c r="I53" s="148"/>
      <c r="J53" s="223"/>
      <c r="K53" s="148"/>
      <c r="L53" s="148"/>
    </row>
    <row r="54" spans="2:12" ht="12.75">
      <c r="B54" s="287" t="s">
        <v>296</v>
      </c>
      <c r="C54" s="288">
        <f>SUM(C49,C42,C25,C23,C13)</f>
        <v>66884968.989999995</v>
      </c>
      <c r="D54" s="289">
        <f>C54/$K$54</f>
        <v>0.05154665445448682</v>
      </c>
      <c r="E54" s="288">
        <f>SUM(E49,E42,E25,E23,E13)</f>
        <v>51057045.08</v>
      </c>
      <c r="F54" s="289">
        <f>E54/$K$54</f>
        <v>0.03934845003216494</v>
      </c>
      <c r="G54" s="288">
        <f>SUM(G49,G42,G25,G23,G13)</f>
        <v>155384233.98</v>
      </c>
      <c r="H54" s="289">
        <f>G54/$K$54</f>
        <v>0.11975093264735906</v>
      </c>
      <c r="I54" s="288">
        <f>SUM(I49,I42,I25,I23,I13)</f>
        <v>23702445.47</v>
      </c>
      <c r="J54" s="289">
        <f>I54/$K$54</f>
        <v>0.018266910859315425</v>
      </c>
      <c r="K54" s="288">
        <f>SUM(K49,K42,K25,K23,K13)</f>
        <v>1297561785.4900002</v>
      </c>
      <c r="L54" s="289">
        <f>K54/$K$54</f>
        <v>1</v>
      </c>
    </row>
    <row r="55" ht="6" customHeight="1"/>
  </sheetData>
  <mergeCells count="1">
    <mergeCell ref="M28:M30"/>
  </mergeCells>
  <printOptions verticalCentered="1"/>
  <pageMargins left="0.5" right="0" top="0.3" bottom="0.3" header="0" footer="0"/>
  <pageSetup fitToHeight="1" fitToWidth="1" horizontalDpi="300" verticalDpi="300" orientation="landscape" scale="83"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J75"/>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8.83203125" style="79" customWidth="1"/>
    <col min="5" max="5" width="9.83203125" style="79" customWidth="1"/>
    <col min="6" max="6" width="16.83203125" style="79" customWidth="1"/>
    <col min="7" max="7" width="8.83203125" style="79" customWidth="1"/>
    <col min="8" max="8" width="9.83203125" style="79" customWidth="1"/>
    <col min="9" max="9" width="16.83203125" style="79" customWidth="1"/>
    <col min="10" max="10" width="8.83203125" style="79" customWidth="1"/>
    <col min="11" max="16384" width="15.83203125" style="79" customWidth="1"/>
  </cols>
  <sheetData>
    <row r="1" spans="1:10" ht="6.75" customHeight="1">
      <c r="A1" s="15"/>
      <c r="B1" s="19"/>
      <c r="C1" s="54"/>
      <c r="D1" s="54"/>
      <c r="E1" s="54"/>
      <c r="F1" s="54"/>
      <c r="G1" s="54"/>
      <c r="H1" s="54"/>
      <c r="I1" s="54"/>
      <c r="J1" s="54"/>
    </row>
    <row r="2" spans="1:10" ht="12.75">
      <c r="A2" s="6"/>
      <c r="B2" s="21"/>
      <c r="C2" s="55" t="s">
        <v>1</v>
      </c>
      <c r="D2" s="55"/>
      <c r="E2" s="55"/>
      <c r="F2" s="55"/>
      <c r="G2" s="55"/>
      <c r="H2" s="55"/>
      <c r="I2" s="56"/>
      <c r="J2" s="57" t="s">
        <v>2</v>
      </c>
    </row>
    <row r="3" spans="1:10" ht="12.75">
      <c r="A3" s="7"/>
      <c r="B3" s="25"/>
      <c r="C3" s="58" t="str">
        <f>YEAR</f>
        <v>OPERATING FUND ACTUAL 2001/2002</v>
      </c>
      <c r="D3" s="58"/>
      <c r="E3" s="58"/>
      <c r="F3" s="58"/>
      <c r="G3" s="58"/>
      <c r="H3" s="58"/>
      <c r="I3" s="59"/>
      <c r="J3" s="60"/>
    </row>
    <row r="4" spans="1:10" ht="12.75">
      <c r="A4" s="8"/>
      <c r="B4" s="15"/>
      <c r="C4" s="54"/>
      <c r="D4" s="54"/>
      <c r="E4" s="54"/>
      <c r="F4" s="54"/>
      <c r="G4" s="54"/>
      <c r="H4" s="54"/>
      <c r="I4" s="54"/>
      <c r="J4" s="54"/>
    </row>
    <row r="5" spans="1:10" ht="12.75">
      <c r="A5" s="8"/>
      <c r="B5" s="15"/>
      <c r="C5" s="54"/>
      <c r="D5" s="54"/>
      <c r="E5" s="54"/>
      <c r="F5" s="54"/>
      <c r="G5" s="54"/>
      <c r="H5" s="54"/>
      <c r="I5" s="54"/>
      <c r="J5" s="54"/>
    </row>
    <row r="6" spans="1:10" ht="12.75">
      <c r="A6" s="8"/>
      <c r="B6" s="15"/>
      <c r="C6" s="61"/>
      <c r="D6" s="62"/>
      <c r="E6" s="63"/>
      <c r="F6" s="64"/>
      <c r="G6" s="62"/>
      <c r="H6" s="63"/>
      <c r="I6" s="64" t="s">
        <v>422</v>
      </c>
      <c r="J6" s="63"/>
    </row>
    <row r="7" spans="1:10" ht="16.5">
      <c r="A7" s="15"/>
      <c r="B7" s="15"/>
      <c r="C7" s="65" t="s">
        <v>63</v>
      </c>
      <c r="D7" s="66"/>
      <c r="E7" s="67"/>
      <c r="F7" s="65" t="s">
        <v>64</v>
      </c>
      <c r="G7" s="66"/>
      <c r="H7" s="67"/>
      <c r="I7" s="65" t="s">
        <v>467</v>
      </c>
      <c r="J7" s="67"/>
    </row>
    <row r="8" spans="1:10" ht="12.75">
      <c r="A8" s="42"/>
      <c r="B8" s="43"/>
      <c r="C8" s="68" t="s">
        <v>3</v>
      </c>
      <c r="D8" s="69"/>
      <c r="E8" s="70" t="s">
        <v>76</v>
      </c>
      <c r="F8" s="71"/>
      <c r="G8" s="70"/>
      <c r="H8" s="70" t="s">
        <v>76</v>
      </c>
      <c r="I8" s="71"/>
      <c r="J8" s="70"/>
    </row>
    <row r="9" spans="1:10" ht="12.75">
      <c r="A9" s="49" t="s">
        <v>101</v>
      </c>
      <c r="B9" s="50" t="s">
        <v>102</v>
      </c>
      <c r="C9" s="72" t="s">
        <v>103</v>
      </c>
      <c r="D9" s="73" t="s">
        <v>104</v>
      </c>
      <c r="E9" s="73" t="s">
        <v>105</v>
      </c>
      <c r="F9" s="73" t="s">
        <v>103</v>
      </c>
      <c r="G9" s="73" t="s">
        <v>104</v>
      </c>
      <c r="H9" s="73" t="s">
        <v>105</v>
      </c>
      <c r="I9" s="73" t="s">
        <v>103</v>
      </c>
      <c r="J9" s="73" t="s">
        <v>104</v>
      </c>
    </row>
    <row r="10" spans="1:10" ht="4.5" customHeight="1">
      <c r="A10" s="74"/>
      <c r="B10" s="74"/>
      <c r="C10" s="15"/>
      <c r="D10" s="15"/>
      <c r="E10" s="15"/>
      <c r="F10" s="15"/>
      <c r="G10" s="15"/>
      <c r="H10" s="15"/>
      <c r="I10" s="15"/>
      <c r="J10" s="15"/>
    </row>
    <row r="11" spans="1:10" ht="12.75">
      <c r="A11" s="11">
        <v>1</v>
      </c>
      <c r="B11" s="12" t="s">
        <v>116</v>
      </c>
      <c r="C11" s="405">
        <f>SUM('- 18 -'!C11,'- 18 -'!F11,'- 19 -'!C11,'- 19 -'!F11,'- 19 -'!I11,'- 20 -'!C11)</f>
        <v>131077412</v>
      </c>
      <c r="D11" s="351">
        <f>C11/'- 3 -'!E11</f>
        <v>0.5438138851878882</v>
      </c>
      <c r="E11" s="12">
        <f>C11/'- 7 -'!D11</f>
        <v>4414.971454362346</v>
      </c>
      <c r="F11" s="405">
        <f>SUM('- 21 -'!C11,'- 21 -'!F11,'- 21 -'!I11,'- 22 -'!C11,'- 22 -'!F11,'- 22 -'!I11)</f>
        <v>45706299.09</v>
      </c>
      <c r="G11" s="351">
        <f>F11/'- 3 -'!E11</f>
        <v>0.18962626516987183</v>
      </c>
      <c r="H11" s="12">
        <f>F11/'- 7 -'!H11</f>
        <v>1484.2936317315782</v>
      </c>
      <c r="I11" s="405">
        <f>SUM('- 23 -'!E11,'- 23 -'!C11)</f>
        <v>361423</v>
      </c>
      <c r="J11" s="351">
        <f>I11/'- 3 -'!E11</f>
        <v>0.001499471517077726</v>
      </c>
    </row>
    <row r="12" spans="1:10" ht="12.75">
      <c r="A12" s="13">
        <v>2</v>
      </c>
      <c r="B12" s="14" t="s">
        <v>117</v>
      </c>
      <c r="C12" s="406">
        <f>SUM('- 18 -'!C12,'- 18 -'!F12,'- 19 -'!C12,'- 19 -'!F12,'- 19 -'!I12,'- 20 -'!C12)</f>
        <v>38781530</v>
      </c>
      <c r="D12" s="352">
        <f>C12/'- 3 -'!E12</f>
        <v>0.6453737133847657</v>
      </c>
      <c r="E12" s="14">
        <f>C12/'- 7 -'!D12</f>
        <v>4289.105019205099</v>
      </c>
      <c r="F12" s="406">
        <f>SUM('- 21 -'!C12,'- 21 -'!F12,'- 21 -'!I12,'- 22 -'!C12,'- 22 -'!F12,'- 22 -'!I12)</f>
        <v>7064414</v>
      </c>
      <c r="G12" s="352">
        <f>F12/'- 3 -'!E12</f>
        <v>0.11756078463297674</v>
      </c>
      <c r="H12" s="14">
        <f>F12/'- 7 -'!H12</f>
        <v>772.7537145026128</v>
      </c>
      <c r="I12" s="406">
        <f>SUM('- 23 -'!E12,'- 23 -'!C12)</f>
        <v>0</v>
      </c>
      <c r="J12" s="352">
        <f>I12/'- 3 -'!E12</f>
        <v>0</v>
      </c>
    </row>
    <row r="13" spans="1:10" ht="12.75">
      <c r="A13" s="11">
        <v>3</v>
      </c>
      <c r="B13" s="12" t="s">
        <v>118</v>
      </c>
      <c r="C13" s="405">
        <f>SUM('- 18 -'!C13,'- 18 -'!F13,'- 19 -'!C13,'- 19 -'!F13,'- 19 -'!I13,'- 20 -'!C13)</f>
        <v>24595203</v>
      </c>
      <c r="D13" s="351">
        <f>C13/'- 3 -'!E13</f>
        <v>0.585873479052129</v>
      </c>
      <c r="E13" s="12">
        <f>C13/'- 7 -'!D13</f>
        <v>4201.794311095926</v>
      </c>
      <c r="F13" s="405">
        <f>SUM('- 21 -'!C13,'- 21 -'!F13,'- 21 -'!I13,'- 22 -'!C13,'- 22 -'!F13,'- 22 -'!I13)</f>
        <v>6792536</v>
      </c>
      <c r="G13" s="351">
        <f>F13/'- 3 -'!E13</f>
        <v>0.1618025554782708</v>
      </c>
      <c r="H13" s="12">
        <f>F13/'- 7 -'!H13</f>
        <v>1160.4229947894423</v>
      </c>
      <c r="I13" s="405">
        <f>SUM('- 23 -'!E13,'- 23 -'!C13)</f>
        <v>0</v>
      </c>
      <c r="J13" s="351">
        <f>I13/'- 3 -'!E13</f>
        <v>0</v>
      </c>
    </row>
    <row r="14" spans="1:10" ht="12.75">
      <c r="A14" s="13">
        <v>4</v>
      </c>
      <c r="B14" s="14" t="s">
        <v>119</v>
      </c>
      <c r="C14" s="406">
        <f>SUM('- 18 -'!C14,'- 18 -'!F14,'- 19 -'!C14,'- 19 -'!F14,'- 19 -'!I14,'- 20 -'!C14)</f>
        <v>24367040.51</v>
      </c>
      <c r="D14" s="352">
        <f>C14/'- 3 -'!E14</f>
        <v>0.5862303194936433</v>
      </c>
      <c r="E14" s="14">
        <f>C14/'- 7 -'!D14</f>
        <v>4189.8002871488015</v>
      </c>
      <c r="F14" s="406">
        <f>SUM('- 21 -'!C14,'- 21 -'!F14,'- 21 -'!I14,'- 22 -'!C14,'- 22 -'!F14,'- 22 -'!I14)</f>
        <v>6454385.390000001</v>
      </c>
      <c r="G14" s="352">
        <f>F14/'- 3 -'!E14</f>
        <v>0.1552817383695811</v>
      </c>
      <c r="H14" s="14">
        <f>F14/'- 7 -'!H14</f>
        <v>1091.7800652931426</v>
      </c>
      <c r="I14" s="406">
        <f>SUM('- 23 -'!E14,'- 23 -'!C14)</f>
        <v>0</v>
      </c>
      <c r="J14" s="352">
        <f>I14/'- 3 -'!E14</f>
        <v>0</v>
      </c>
    </row>
    <row r="15" spans="1:10" ht="12.75">
      <c r="A15" s="11">
        <v>5</v>
      </c>
      <c r="B15" s="12" t="s">
        <v>120</v>
      </c>
      <c r="C15" s="405">
        <f>SUM('- 18 -'!C15,'- 18 -'!F15,'- 19 -'!C15,'- 19 -'!F15,'- 19 -'!I15,'- 20 -'!C15)</f>
        <v>31316140</v>
      </c>
      <c r="D15" s="351">
        <f>C15/'- 3 -'!E15</f>
        <v>0.6231115819999317</v>
      </c>
      <c r="E15" s="12">
        <f>C15/'- 7 -'!D15</f>
        <v>4367.297018380609</v>
      </c>
      <c r="F15" s="405">
        <f>SUM('- 21 -'!C15,'- 21 -'!F15,'- 21 -'!I15,'- 22 -'!C15,'- 22 -'!F15,'- 22 -'!I15)</f>
        <v>6827561</v>
      </c>
      <c r="G15" s="351">
        <f>F15/'- 3 -'!E15</f>
        <v>0.13585110859483435</v>
      </c>
      <c r="H15" s="12">
        <f>F15/'- 7 -'!H15</f>
        <v>946.4714362948278</v>
      </c>
      <c r="I15" s="405">
        <f>SUM('- 23 -'!E15,'- 23 -'!C15)</f>
        <v>0</v>
      </c>
      <c r="J15" s="351">
        <f>I15/'- 3 -'!E15</f>
        <v>0</v>
      </c>
    </row>
    <row r="16" spans="1:10" ht="12.75">
      <c r="A16" s="13">
        <v>6</v>
      </c>
      <c r="B16" s="14" t="s">
        <v>121</v>
      </c>
      <c r="C16" s="406">
        <f>SUM('- 18 -'!C16,'- 18 -'!F16,'- 19 -'!C16,'- 19 -'!F16,'- 19 -'!I16,'- 20 -'!C16)</f>
        <v>35447961</v>
      </c>
      <c r="D16" s="352">
        <f>C16/'- 3 -'!E16</f>
        <v>0.612056088558439</v>
      </c>
      <c r="E16" s="14">
        <f>C16/'- 7 -'!D16</f>
        <v>4070.2676541508786</v>
      </c>
      <c r="F16" s="406">
        <f>SUM('- 21 -'!C16,'- 21 -'!F16,'- 21 -'!I16,'- 22 -'!C16,'- 22 -'!F16,'- 22 -'!I16)</f>
        <v>7860626</v>
      </c>
      <c r="G16" s="352">
        <f>F16/'- 3 -'!E16</f>
        <v>0.13572413948381315</v>
      </c>
      <c r="H16" s="14">
        <f>F16/'- 7 -'!H16</f>
        <v>894.8800091074681</v>
      </c>
      <c r="I16" s="406">
        <f>SUM('- 23 -'!E16,'- 23 -'!C16)</f>
        <v>0</v>
      </c>
      <c r="J16" s="352">
        <f>I16/'- 3 -'!E16</f>
        <v>0</v>
      </c>
    </row>
    <row r="17" spans="1:10" ht="12.75">
      <c r="A17" s="11">
        <v>9</v>
      </c>
      <c r="B17" s="12" t="s">
        <v>122</v>
      </c>
      <c r="C17" s="405">
        <f>SUM('- 18 -'!C17,'- 18 -'!F17,'- 19 -'!C17,'- 19 -'!F17,'- 19 -'!I17,'- 20 -'!C17)</f>
        <v>48878672</v>
      </c>
      <c r="D17" s="351">
        <f>C17/'- 3 -'!E17</f>
        <v>0.5995787967181541</v>
      </c>
      <c r="E17" s="12">
        <f>C17/'- 7 -'!D17</f>
        <v>3950.2066479710998</v>
      </c>
      <c r="F17" s="405">
        <f>SUM('- 21 -'!C17,'- 21 -'!F17,'- 21 -'!I17,'- 22 -'!C17,'- 22 -'!F17,'- 22 -'!I17)</f>
        <v>11990157</v>
      </c>
      <c r="G17" s="351">
        <f>F17/'- 3 -'!E17</f>
        <v>0.14707936227321708</v>
      </c>
      <c r="H17" s="12">
        <f>F17/'- 7 -'!H17</f>
        <v>956.4045562229294</v>
      </c>
      <c r="I17" s="405">
        <f>SUM('- 23 -'!E17,'- 23 -'!C17)</f>
        <v>415307</v>
      </c>
      <c r="J17" s="351">
        <f>I17/'- 3 -'!E17</f>
        <v>0.005094436103514155</v>
      </c>
    </row>
    <row r="18" spans="1:10" ht="12.75">
      <c r="A18" s="13">
        <v>10</v>
      </c>
      <c r="B18" s="14" t="s">
        <v>123</v>
      </c>
      <c r="C18" s="406">
        <f>SUM('- 18 -'!C18,'- 18 -'!F18,'- 19 -'!C18,'- 19 -'!F18,'- 19 -'!I18,'- 20 -'!C18)</f>
        <v>35983779.91</v>
      </c>
      <c r="D18" s="352">
        <f>C18/'- 3 -'!E18</f>
        <v>0.6005202544855119</v>
      </c>
      <c r="E18" s="14">
        <f>C18/'- 7 -'!D18</f>
        <v>4219.23901154951</v>
      </c>
      <c r="F18" s="406">
        <f>SUM('- 21 -'!C18,'- 21 -'!F18,'- 21 -'!I18,'- 22 -'!C18,'- 22 -'!F18,'- 22 -'!I18)</f>
        <v>7670365.890000001</v>
      </c>
      <c r="G18" s="352">
        <f>F18/'- 3 -'!E18</f>
        <v>0.12800795491136582</v>
      </c>
      <c r="H18" s="14">
        <f>F18/'- 7 -'!H18</f>
        <v>895.3908702503941</v>
      </c>
      <c r="I18" s="406">
        <f>SUM('- 23 -'!E18,'- 23 -'!C18)</f>
        <v>0</v>
      </c>
      <c r="J18" s="352">
        <f>I18/'- 3 -'!E18</f>
        <v>0</v>
      </c>
    </row>
    <row r="19" spans="1:10" ht="12.75">
      <c r="A19" s="11">
        <v>11</v>
      </c>
      <c r="B19" s="12" t="s">
        <v>124</v>
      </c>
      <c r="C19" s="405">
        <f>SUM('- 18 -'!C19,'- 18 -'!F19,'- 19 -'!C19,'- 19 -'!F19,'- 19 -'!I19,'- 20 -'!C19)</f>
        <v>19960598</v>
      </c>
      <c r="D19" s="351">
        <f>C19/'- 3 -'!E19</f>
        <v>0.617438839581358</v>
      </c>
      <c r="E19" s="12">
        <f>C19/'- 7 -'!D19</f>
        <v>4249.1959552953695</v>
      </c>
      <c r="F19" s="405">
        <f>SUM('- 21 -'!C19,'- 21 -'!F19,'- 21 -'!I19,'- 22 -'!C19,'- 22 -'!F19,'- 22 -'!I19)</f>
        <v>4157605</v>
      </c>
      <c r="G19" s="351">
        <f>F19/'- 3 -'!E19</f>
        <v>0.12860670840811744</v>
      </c>
      <c r="H19" s="12">
        <f>F19/'- 7 -'!H19</f>
        <v>881.6891103806595</v>
      </c>
      <c r="I19" s="405">
        <f>SUM('- 23 -'!E19,'- 23 -'!C19)</f>
        <v>278767</v>
      </c>
      <c r="J19" s="351">
        <f>I19/'- 3 -'!E19</f>
        <v>0.008623066953884671</v>
      </c>
    </row>
    <row r="20" spans="1:10" ht="12.75">
      <c r="A20" s="13">
        <v>12</v>
      </c>
      <c r="B20" s="14" t="s">
        <v>125</v>
      </c>
      <c r="C20" s="406">
        <f>SUM('- 18 -'!C20,'- 18 -'!F20,'- 19 -'!C20,'- 19 -'!F20,'- 19 -'!I20,'- 20 -'!C20)</f>
        <v>31427726</v>
      </c>
      <c r="D20" s="352">
        <f>C20/'- 3 -'!E20</f>
        <v>0.6067318555804971</v>
      </c>
      <c r="E20" s="14">
        <f>C20/'- 7 -'!D20</f>
        <v>4086.8304291287386</v>
      </c>
      <c r="F20" s="406">
        <f>SUM('- 21 -'!C20,'- 21 -'!F20,'- 21 -'!I20,'- 22 -'!C20,'- 22 -'!F20,'- 22 -'!I20)</f>
        <v>7335853</v>
      </c>
      <c r="G20" s="352">
        <f>F20/'- 3 -'!E20</f>
        <v>0.14162321839498526</v>
      </c>
      <c r="H20" s="14">
        <f>F20/'- 7 -'!H20</f>
        <v>950.3631299391113</v>
      </c>
      <c r="I20" s="406">
        <f>SUM('- 23 -'!E20,'- 23 -'!C20)</f>
        <v>672228</v>
      </c>
      <c r="J20" s="352">
        <f>I20/'- 3 -'!E20</f>
        <v>0.012977780887270253</v>
      </c>
    </row>
    <row r="21" spans="1:10" ht="12.75">
      <c r="A21" s="11">
        <v>13</v>
      </c>
      <c r="B21" s="12" t="s">
        <v>126</v>
      </c>
      <c r="C21" s="405">
        <f>SUM('- 18 -'!C21,'- 18 -'!F21,'- 19 -'!C21,'- 19 -'!F21,'- 19 -'!I21,'- 20 -'!C21)</f>
        <v>11158677</v>
      </c>
      <c r="D21" s="351">
        <f>C21/'- 3 -'!E21</f>
        <v>0.5644717594834532</v>
      </c>
      <c r="E21" s="12">
        <f>C21/'- 7 -'!D21</f>
        <v>4198.46376702536</v>
      </c>
      <c r="F21" s="405">
        <f>SUM('- 21 -'!C21,'- 21 -'!F21,'- 21 -'!I21,'- 22 -'!C21,'- 22 -'!F21,'- 22 -'!I21)</f>
        <v>2338555</v>
      </c>
      <c r="G21" s="351">
        <f>F21/'- 3 -'!E21</f>
        <v>0.11829791788926472</v>
      </c>
      <c r="H21" s="12">
        <f>F21/'- 7 -'!H21</f>
        <v>874.4876972552539</v>
      </c>
      <c r="I21" s="405">
        <f>SUM('- 23 -'!E21,'- 23 -'!C21)</f>
        <v>922147</v>
      </c>
      <c r="J21" s="351">
        <f>I21/'- 3 -'!E21</f>
        <v>0.046647639284871124</v>
      </c>
    </row>
    <row r="22" spans="1:10" ht="12.75">
      <c r="A22" s="13">
        <v>14</v>
      </c>
      <c r="B22" s="14" t="s">
        <v>127</v>
      </c>
      <c r="C22" s="406">
        <f>SUM('- 18 -'!C22,'- 18 -'!F22,'- 19 -'!C22,'- 19 -'!F22,'- 19 -'!I22,'- 20 -'!C22)</f>
        <v>13652788.41</v>
      </c>
      <c r="D22" s="352">
        <f>C22/'- 3 -'!E22</f>
        <v>0.5937212241681511</v>
      </c>
      <c r="E22" s="14">
        <f>C22/'- 7 -'!D22</f>
        <v>3883.5978978808134</v>
      </c>
      <c r="F22" s="406">
        <f>SUM('- 21 -'!C22,'- 21 -'!F22,'- 21 -'!I22,'- 22 -'!C22,'- 22 -'!F22,'- 22 -'!I22)</f>
        <v>2588323</v>
      </c>
      <c r="G22" s="352">
        <f>F22/'- 3 -'!E22</f>
        <v>0.1125588600623879</v>
      </c>
      <c r="H22" s="14">
        <f>F22/'- 7 -'!H22</f>
        <v>736.2602759209217</v>
      </c>
      <c r="I22" s="406">
        <f>SUM('- 23 -'!E22,'- 23 -'!C22)</f>
        <v>316232</v>
      </c>
      <c r="J22" s="352">
        <f>I22/'- 3 -'!E22</f>
        <v>0.013752036911640876</v>
      </c>
    </row>
    <row r="23" spans="1:10" ht="12.75">
      <c r="A23" s="11">
        <v>15</v>
      </c>
      <c r="B23" s="12" t="s">
        <v>128</v>
      </c>
      <c r="C23" s="405">
        <f>SUM('- 18 -'!C23,'- 18 -'!F23,'- 19 -'!C23,'- 19 -'!F23,'- 19 -'!I23,'- 20 -'!C23)</f>
        <v>21030361</v>
      </c>
      <c r="D23" s="351">
        <f>C23/'- 3 -'!E23</f>
        <v>0.6574580046138817</v>
      </c>
      <c r="E23" s="12">
        <f>C23/'- 7 -'!D23</f>
        <v>3512.084335337341</v>
      </c>
      <c r="F23" s="405">
        <f>SUM('- 21 -'!C23,'- 21 -'!F23,'- 21 -'!I23,'- 22 -'!C23,'- 22 -'!F23,'- 22 -'!I23)</f>
        <v>2905385</v>
      </c>
      <c r="G23" s="351">
        <f>F23/'- 3 -'!E23</f>
        <v>0.09082909345850519</v>
      </c>
      <c r="H23" s="12">
        <f>F23/'- 7 -'!H23</f>
        <v>484.71554888221556</v>
      </c>
      <c r="I23" s="405">
        <f>SUM('- 23 -'!E23,'- 23 -'!C23)</f>
        <v>0</v>
      </c>
      <c r="J23" s="351">
        <f>I23/'- 3 -'!E23</f>
        <v>0</v>
      </c>
    </row>
    <row r="24" spans="1:10" ht="12.75">
      <c r="A24" s="13">
        <v>16</v>
      </c>
      <c r="B24" s="14" t="s">
        <v>129</v>
      </c>
      <c r="C24" s="406">
        <f>SUM('- 18 -'!C24,'- 18 -'!F24,'- 19 -'!C24,'- 19 -'!F24,'- 19 -'!I24,'- 20 -'!C24)</f>
        <v>3606526</v>
      </c>
      <c r="D24" s="352">
        <f>C24/'- 3 -'!E24</f>
        <v>0.5835882478261758</v>
      </c>
      <c r="E24" s="14">
        <f>C24/'- 7 -'!D24</f>
        <v>4289.398192197907</v>
      </c>
      <c r="F24" s="406">
        <f>SUM('- 21 -'!C24,'- 21 -'!F24,'- 21 -'!I24,'- 22 -'!C24,'- 22 -'!F24,'- 22 -'!I24)</f>
        <v>548476</v>
      </c>
      <c r="G24" s="352">
        <f>F24/'- 3 -'!E24</f>
        <v>0.0887513767583291</v>
      </c>
      <c r="H24" s="14">
        <f>F24/'- 7 -'!H24</f>
        <v>652.3263558515699</v>
      </c>
      <c r="I24" s="406">
        <f>SUM('- 23 -'!E24,'- 23 -'!C24)</f>
        <v>57725</v>
      </c>
      <c r="J24" s="352">
        <f>I24/'- 3 -'!E24</f>
        <v>0.009340742755151633</v>
      </c>
    </row>
    <row r="25" spans="1:10" ht="12.75">
      <c r="A25" s="11">
        <v>17</v>
      </c>
      <c r="B25" s="12" t="s">
        <v>130</v>
      </c>
      <c r="C25" s="405">
        <f>SUM('- 18 -'!C25,'- 18 -'!F25,'- 19 -'!C25,'- 19 -'!F25,'- 19 -'!I25,'- 20 -'!C25)</f>
        <v>2429989</v>
      </c>
      <c r="D25" s="351">
        <f>C25/'- 3 -'!E25</f>
        <v>0.5837241920974389</v>
      </c>
      <c r="E25" s="12">
        <f>C25/'- 7 -'!D25</f>
        <v>5051.952182952183</v>
      </c>
      <c r="F25" s="405">
        <f>SUM('- 21 -'!C25,'- 21 -'!F25,'- 21 -'!I25,'- 22 -'!C25,'- 22 -'!F25,'- 22 -'!I25)</f>
        <v>464149</v>
      </c>
      <c r="G25" s="351">
        <f>F25/'- 3 -'!E25</f>
        <v>0.11149638950539865</v>
      </c>
      <c r="H25" s="12">
        <f>F25/'- 7 -'!H25</f>
        <v>951.125</v>
      </c>
      <c r="I25" s="405">
        <f>SUM('- 23 -'!E25,'- 23 -'!C25)</f>
        <v>0</v>
      </c>
      <c r="J25" s="351">
        <f>I25/'- 3 -'!E25</f>
        <v>0</v>
      </c>
    </row>
    <row r="26" spans="1:10" ht="12.75">
      <c r="A26" s="13">
        <v>18</v>
      </c>
      <c r="B26" s="14" t="s">
        <v>131</v>
      </c>
      <c r="C26" s="406">
        <f>SUM('- 18 -'!C26,'- 18 -'!F26,'- 19 -'!C26,'- 19 -'!F26,'- 19 -'!I26,'- 20 -'!C26)</f>
        <v>5404939.21</v>
      </c>
      <c r="D26" s="352">
        <f>C26/'- 3 -'!E26</f>
        <v>0.5627874157331815</v>
      </c>
      <c r="E26" s="14">
        <f>C26/'- 7 -'!D26</f>
        <v>3675.579197551853</v>
      </c>
      <c r="F26" s="406">
        <f>SUM('- 21 -'!C26,'- 21 -'!F26,'- 21 -'!I26,'- 22 -'!C26,'- 22 -'!F26,'- 22 -'!I26)</f>
        <v>1182998</v>
      </c>
      <c r="G26" s="352">
        <f>F26/'- 3 -'!E26</f>
        <v>0.12317925537547761</v>
      </c>
      <c r="H26" s="14">
        <f>F26/'- 7 -'!H26</f>
        <v>804.4869092145528</v>
      </c>
      <c r="I26" s="406">
        <f>SUM('- 23 -'!E26,'- 23 -'!C26)</f>
        <v>329850</v>
      </c>
      <c r="J26" s="352">
        <f>I26/'- 3 -'!E26</f>
        <v>0.034345516548296186</v>
      </c>
    </row>
    <row r="27" spans="1:10" ht="12.75">
      <c r="A27" s="11">
        <v>19</v>
      </c>
      <c r="B27" s="12" t="s">
        <v>132</v>
      </c>
      <c r="C27" s="405">
        <f>SUM('- 18 -'!C27,'- 18 -'!F27,'- 19 -'!C27,'- 19 -'!F27,'- 19 -'!I27,'- 20 -'!C27)</f>
        <v>7668282</v>
      </c>
      <c r="D27" s="351">
        <f>C27/'- 3 -'!E27</f>
        <v>0.5216717078133384</v>
      </c>
      <c r="E27" s="12">
        <f>C27/'- 7 -'!D27</f>
        <v>4126.059725585149</v>
      </c>
      <c r="F27" s="405">
        <f>SUM('- 21 -'!C27,'- 21 -'!F27,'- 21 -'!I27,'- 22 -'!C27,'- 22 -'!F27,'- 22 -'!I27)</f>
        <v>1284839</v>
      </c>
      <c r="G27" s="351">
        <f>F27/'- 3 -'!E27</f>
        <v>0.08740734305222236</v>
      </c>
      <c r="H27" s="12">
        <f>F27/'- 7 -'!H27</f>
        <v>691.3311810599946</v>
      </c>
      <c r="I27" s="405">
        <f>SUM('- 23 -'!E27,'- 23 -'!C27)</f>
        <v>1934945</v>
      </c>
      <c r="J27" s="351">
        <f>I27/'- 3 -'!E27</f>
        <v>0.1316339256530837</v>
      </c>
    </row>
    <row r="28" spans="1:10" ht="12.75">
      <c r="A28" s="13">
        <v>20</v>
      </c>
      <c r="B28" s="14" t="s">
        <v>133</v>
      </c>
      <c r="C28" s="406">
        <f>SUM('- 18 -'!C28,'- 18 -'!F28,'- 19 -'!C28,'- 19 -'!F28,'- 19 -'!I28,'- 20 -'!C28)</f>
        <v>4688540</v>
      </c>
      <c r="D28" s="352">
        <f>C28/'- 3 -'!E28</f>
        <v>0.6202510060389457</v>
      </c>
      <c r="E28" s="14">
        <f>C28/'- 7 -'!D28</f>
        <v>4958.794288736119</v>
      </c>
      <c r="F28" s="406">
        <f>SUM('- 21 -'!C28,'- 21 -'!F28,'- 21 -'!I28,'- 22 -'!C28,'- 22 -'!F28,'- 22 -'!I28)</f>
        <v>832745</v>
      </c>
      <c r="G28" s="352">
        <f>F28/'- 3 -'!E28</f>
        <v>0.11016455528243371</v>
      </c>
      <c r="H28" s="14">
        <f>F28/'- 7 -'!H28</f>
        <v>872.4410686223154</v>
      </c>
      <c r="I28" s="406">
        <f>SUM('- 23 -'!E28,'- 23 -'!C28)</f>
        <v>0</v>
      </c>
      <c r="J28" s="352">
        <f>I28/'- 3 -'!E28</f>
        <v>0</v>
      </c>
    </row>
    <row r="29" spans="1:10" ht="12.75">
      <c r="A29" s="11">
        <v>21</v>
      </c>
      <c r="B29" s="12" t="s">
        <v>134</v>
      </c>
      <c r="C29" s="405">
        <f>SUM('- 18 -'!C29,'- 18 -'!F29,'- 19 -'!C29,'- 19 -'!F29,'- 19 -'!I29,'- 20 -'!C29)</f>
        <v>13237605</v>
      </c>
      <c r="D29" s="351">
        <f>C29/'- 3 -'!E29</f>
        <v>0.5934683093350626</v>
      </c>
      <c r="E29" s="12">
        <f>C29/'- 7 -'!D29</f>
        <v>3880.2887292979626</v>
      </c>
      <c r="F29" s="405">
        <f>SUM('- 21 -'!C29,'- 21 -'!F29,'- 21 -'!I29,'- 22 -'!C29,'- 22 -'!F29,'- 22 -'!I29)</f>
        <v>2578390</v>
      </c>
      <c r="G29" s="351">
        <f>F29/'- 3 -'!E29</f>
        <v>0.1155943808646981</v>
      </c>
      <c r="H29" s="12">
        <f>F29/'- 7 -'!H29</f>
        <v>751.3886055660789</v>
      </c>
      <c r="I29" s="405">
        <f>SUM('- 23 -'!E29,'- 23 -'!C29)</f>
        <v>249471</v>
      </c>
      <c r="J29" s="351">
        <f>I29/'- 3 -'!E29</f>
        <v>0.011184283909221297</v>
      </c>
    </row>
    <row r="30" spans="1:10" ht="12.75">
      <c r="A30" s="13">
        <v>22</v>
      </c>
      <c r="B30" s="14" t="s">
        <v>135</v>
      </c>
      <c r="C30" s="406">
        <f>SUM('- 18 -'!C30,'- 18 -'!F30,'- 19 -'!C30,'- 19 -'!F30,'- 19 -'!I30,'- 20 -'!C30)</f>
        <v>6679356</v>
      </c>
      <c r="D30" s="352">
        <f>C30/'- 3 -'!E30</f>
        <v>0.5674080805851527</v>
      </c>
      <c r="E30" s="14">
        <f>C30/'- 7 -'!D30</f>
        <v>3783.265930331351</v>
      </c>
      <c r="F30" s="406">
        <f>SUM('- 21 -'!C30,'- 21 -'!F30,'- 21 -'!I30,'- 22 -'!C30,'- 22 -'!F30,'- 22 -'!I30)</f>
        <v>1307986</v>
      </c>
      <c r="G30" s="352">
        <f>F30/'- 3 -'!E30</f>
        <v>0.11111278178498818</v>
      </c>
      <c r="H30" s="14">
        <f>F30/'- 7 -'!H30</f>
        <v>740.8586802605494</v>
      </c>
      <c r="I30" s="406">
        <f>SUM('- 23 -'!E30,'- 23 -'!C30)</f>
        <v>49597</v>
      </c>
      <c r="J30" s="352">
        <f>I30/'- 3 -'!E30</f>
        <v>0.004213241302422242</v>
      </c>
    </row>
    <row r="31" spans="1:10" ht="12.75">
      <c r="A31" s="11">
        <v>23</v>
      </c>
      <c r="B31" s="12" t="s">
        <v>136</v>
      </c>
      <c r="C31" s="405">
        <f>SUM('- 18 -'!C31,'- 18 -'!F31,'- 19 -'!C31,'- 19 -'!F31,'- 19 -'!I31,'- 20 -'!C31)</f>
        <v>5639535</v>
      </c>
      <c r="D31" s="351">
        <f>C31/'- 3 -'!E31</f>
        <v>0.5575794744795397</v>
      </c>
      <c r="E31" s="12">
        <f>C31/'- 7 -'!D31</f>
        <v>3921.790681502086</v>
      </c>
      <c r="F31" s="405">
        <f>SUM('- 21 -'!C31,'- 21 -'!F31,'- 21 -'!I31,'- 22 -'!C31,'- 22 -'!F31,'- 22 -'!I31)</f>
        <v>1343629</v>
      </c>
      <c r="G31" s="351">
        <f>F31/'- 3 -'!E31</f>
        <v>0.1328442773589435</v>
      </c>
      <c r="H31" s="12">
        <f>F31/'- 7 -'!H31</f>
        <v>934.3734353268428</v>
      </c>
      <c r="I31" s="405">
        <f>SUM('- 23 -'!E31,'- 23 -'!C31)</f>
        <v>0</v>
      </c>
      <c r="J31" s="351">
        <f>I31/'- 3 -'!E31</f>
        <v>0</v>
      </c>
    </row>
    <row r="32" spans="1:10" ht="12.75">
      <c r="A32" s="13">
        <v>24</v>
      </c>
      <c r="B32" s="14" t="s">
        <v>137</v>
      </c>
      <c r="C32" s="406">
        <f>SUM('- 18 -'!C32,'- 18 -'!F32,'- 19 -'!C32,'- 19 -'!F32,'- 19 -'!I32,'- 20 -'!C32)</f>
        <v>13545294</v>
      </c>
      <c r="D32" s="352">
        <f>C32/'- 3 -'!E32</f>
        <v>0.5958908837272529</v>
      </c>
      <c r="E32" s="14">
        <f>C32/'- 7 -'!D32</f>
        <v>3883.9552688172043</v>
      </c>
      <c r="F32" s="406">
        <f>SUM('- 21 -'!C32,'- 21 -'!F32,'- 21 -'!I32,'- 22 -'!C32,'- 22 -'!F32,'- 22 -'!I32)</f>
        <v>3202933</v>
      </c>
      <c r="G32" s="352">
        <f>F32/'- 3 -'!E32</f>
        <v>0.14090492062329404</v>
      </c>
      <c r="H32" s="14">
        <f>F32/'- 7 -'!H32</f>
        <v>896.4268122026308</v>
      </c>
      <c r="I32" s="406">
        <f>SUM('- 23 -'!E32,'- 23 -'!C32)</f>
        <v>244430</v>
      </c>
      <c r="J32" s="352">
        <f>I32/'- 3 -'!E32</f>
        <v>0.010753078427788457</v>
      </c>
    </row>
    <row r="33" spans="1:10" ht="12.75">
      <c r="A33" s="11">
        <v>25</v>
      </c>
      <c r="B33" s="12" t="s">
        <v>138</v>
      </c>
      <c r="C33" s="405">
        <f>SUM('- 18 -'!C33,'- 18 -'!F33,'- 19 -'!C33,'- 19 -'!F33,'- 19 -'!I33,'- 20 -'!C33)</f>
        <v>6215205</v>
      </c>
      <c r="D33" s="351">
        <f>C33/'- 3 -'!E33</f>
        <v>0.5914597926238118</v>
      </c>
      <c r="E33" s="12">
        <f>C33/'- 7 -'!D33</f>
        <v>4259.615516414228</v>
      </c>
      <c r="F33" s="405">
        <f>SUM('- 21 -'!C33,'- 21 -'!F33,'- 21 -'!I33,'- 22 -'!C33,'- 22 -'!F33,'- 22 -'!I33)</f>
        <v>958480</v>
      </c>
      <c r="G33" s="351">
        <f>F33/'- 3 -'!E33</f>
        <v>0.09121217756036545</v>
      </c>
      <c r="H33" s="12">
        <f>F33/'- 7 -'!H33</f>
        <v>656.898087862381</v>
      </c>
      <c r="I33" s="405">
        <f>SUM('- 23 -'!E33,'- 23 -'!C33)</f>
        <v>410318</v>
      </c>
      <c r="J33" s="351">
        <f>I33/'- 3 -'!E33</f>
        <v>0.03904723966302273</v>
      </c>
    </row>
    <row r="34" spans="1:10" ht="12.75">
      <c r="A34" s="13">
        <v>26</v>
      </c>
      <c r="B34" s="14" t="s">
        <v>139</v>
      </c>
      <c r="C34" s="406">
        <f>SUM('- 18 -'!C34,'- 18 -'!F34,'- 19 -'!C34,'- 19 -'!F34,'- 19 -'!I34,'- 20 -'!C34)</f>
        <v>10434018</v>
      </c>
      <c r="D34" s="352">
        <f>C34/'- 3 -'!E34</f>
        <v>0.6433060373680382</v>
      </c>
      <c r="E34" s="14">
        <f>C34/'- 7 -'!D34</f>
        <v>3746.236535975873</v>
      </c>
      <c r="F34" s="406">
        <f>SUM('- 21 -'!C34,'- 21 -'!F34,'- 21 -'!I34,'- 22 -'!C34,'- 22 -'!F34,'- 22 -'!I34)</f>
        <v>2103912</v>
      </c>
      <c r="G34" s="352">
        <f>F34/'- 3 -'!E34</f>
        <v>0.12971602039512142</v>
      </c>
      <c r="H34" s="14">
        <f>F34/'- 7 -'!H34</f>
        <v>740.0063311174423</v>
      </c>
      <c r="I34" s="406">
        <f>SUM('- 23 -'!E34,'- 23 -'!C34)</f>
        <v>129035</v>
      </c>
      <c r="J34" s="352">
        <f>I34/'- 3 -'!E34</f>
        <v>0.00795561159006864</v>
      </c>
    </row>
    <row r="35" spans="1:10" ht="12.75">
      <c r="A35" s="11">
        <v>28</v>
      </c>
      <c r="B35" s="12" t="s">
        <v>140</v>
      </c>
      <c r="C35" s="405">
        <f>SUM('- 18 -'!C35,'- 18 -'!F35,'- 19 -'!C35,'- 19 -'!F35,'- 19 -'!I35,'- 20 -'!C35)</f>
        <v>4114806</v>
      </c>
      <c r="D35" s="351">
        <f>C35/'- 3 -'!E35</f>
        <v>0.6460091004444721</v>
      </c>
      <c r="E35" s="12">
        <f>C35/'- 7 -'!D35</f>
        <v>4668.912540280488</v>
      </c>
      <c r="F35" s="405">
        <f>SUM('- 21 -'!C35,'- 21 -'!F35,'- 21 -'!I35,'- 22 -'!C35,'- 22 -'!F35,'- 22 -'!I35)</f>
        <v>515782</v>
      </c>
      <c r="G35" s="351">
        <f>F35/'- 3 -'!E35</f>
        <v>0.0809758384345339</v>
      </c>
      <c r="H35" s="12">
        <f>F35/'- 7 -'!H35</f>
        <v>585.2380520128899</v>
      </c>
      <c r="I35" s="405">
        <f>SUM('- 23 -'!E35,'- 23 -'!C35)</f>
        <v>0</v>
      </c>
      <c r="J35" s="351">
        <f>I35/'- 3 -'!E35</f>
        <v>0</v>
      </c>
    </row>
    <row r="36" spans="1:10" ht="12.75">
      <c r="A36" s="13">
        <v>30</v>
      </c>
      <c r="B36" s="14" t="s">
        <v>141</v>
      </c>
      <c r="C36" s="406">
        <f>SUM('- 18 -'!C36,'- 18 -'!F36,'- 19 -'!C36,'- 19 -'!F36,'- 19 -'!I36,'- 20 -'!C36)</f>
        <v>5350452</v>
      </c>
      <c r="D36" s="352">
        <f>C36/'- 3 -'!E36</f>
        <v>0.5791191811015713</v>
      </c>
      <c r="E36" s="14">
        <f>C36/'- 7 -'!D36</f>
        <v>4110.357225167089</v>
      </c>
      <c r="F36" s="406">
        <f>SUM('- 21 -'!C36,'- 21 -'!F36,'- 21 -'!I36,'- 22 -'!C36,'- 22 -'!F36,'- 22 -'!I36)</f>
        <v>1089157</v>
      </c>
      <c r="G36" s="352">
        <f>F36/'- 3 -'!E36</f>
        <v>0.11788755602910635</v>
      </c>
      <c r="H36" s="14">
        <f>F36/'- 7 -'!H36</f>
        <v>836.7189060459399</v>
      </c>
      <c r="I36" s="406">
        <f>SUM('- 23 -'!E36,'- 23 -'!C36)</f>
        <v>0</v>
      </c>
      <c r="J36" s="352">
        <f>I36/'- 3 -'!E36</f>
        <v>0</v>
      </c>
    </row>
    <row r="37" spans="1:10" ht="12.75">
      <c r="A37" s="11">
        <v>31</v>
      </c>
      <c r="B37" s="12" t="s">
        <v>142</v>
      </c>
      <c r="C37" s="405">
        <f>SUM('- 18 -'!C37,'- 18 -'!F37,'- 19 -'!C37,'- 19 -'!F37,'- 19 -'!I37,'- 20 -'!C37)</f>
        <v>6495846</v>
      </c>
      <c r="D37" s="351">
        <f>C37/'- 3 -'!E37</f>
        <v>0.6037518639979508</v>
      </c>
      <c r="E37" s="12">
        <f>C37/'- 7 -'!D37</f>
        <v>4042.219041692595</v>
      </c>
      <c r="F37" s="405">
        <f>SUM('- 21 -'!C37,'- 21 -'!F37,'- 21 -'!I37,'- 22 -'!C37,'- 22 -'!F37,'- 22 -'!I37)</f>
        <v>1205891</v>
      </c>
      <c r="G37" s="351">
        <f>F37/'- 3 -'!E37</f>
        <v>0.11208069572898631</v>
      </c>
      <c r="H37" s="12">
        <f>F37/'- 7 -'!H37</f>
        <v>730.4003634161114</v>
      </c>
      <c r="I37" s="405">
        <f>SUM('- 23 -'!E37,'- 23 -'!C37)</f>
        <v>0</v>
      </c>
      <c r="J37" s="351">
        <f>I37/'- 3 -'!E37</f>
        <v>0</v>
      </c>
    </row>
    <row r="38" spans="1:10" ht="12.75">
      <c r="A38" s="13">
        <v>32</v>
      </c>
      <c r="B38" s="14" t="s">
        <v>143</v>
      </c>
      <c r="C38" s="406">
        <f>SUM('- 18 -'!C38,'- 18 -'!F38,'- 19 -'!C38,'- 19 -'!F38,'- 19 -'!I38,'- 20 -'!C38)</f>
        <v>3457662.08</v>
      </c>
      <c r="D38" s="352">
        <f>C38/'- 3 -'!E38</f>
        <v>0.5450827385617806</v>
      </c>
      <c r="E38" s="14">
        <f>C38/'- 7 -'!D38</f>
        <v>4170.883088057901</v>
      </c>
      <c r="F38" s="406">
        <f>SUM('- 21 -'!C38,'- 21 -'!F38,'- 21 -'!I38,'- 22 -'!C38,'- 22 -'!F38,'- 22 -'!I38)</f>
        <v>830071</v>
      </c>
      <c r="G38" s="352">
        <f>F38/'- 3 -'!E38</f>
        <v>0.13085644675859007</v>
      </c>
      <c r="H38" s="14">
        <f>F38/'- 7 -'!H38</f>
        <v>1001.291917973462</v>
      </c>
      <c r="I38" s="406">
        <f>SUM('- 23 -'!E38,'- 23 -'!C38)</f>
        <v>0</v>
      </c>
      <c r="J38" s="352">
        <f>I38/'- 3 -'!E38</f>
        <v>0</v>
      </c>
    </row>
    <row r="39" spans="1:10" ht="12.75">
      <c r="A39" s="11">
        <v>33</v>
      </c>
      <c r="B39" s="12" t="s">
        <v>144</v>
      </c>
      <c r="C39" s="405">
        <f>SUM('- 18 -'!C39,'- 18 -'!F39,'- 19 -'!C39,'- 19 -'!F39,'- 19 -'!I39,'- 20 -'!C39)</f>
        <v>7422231</v>
      </c>
      <c r="D39" s="351">
        <f>C39/'- 3 -'!E39</f>
        <v>0.5708958332131505</v>
      </c>
      <c r="E39" s="12">
        <f>C39/'- 7 -'!D39</f>
        <v>3933.349761526232</v>
      </c>
      <c r="F39" s="405">
        <f>SUM('- 21 -'!C39,'- 21 -'!F39,'- 21 -'!I39,'- 22 -'!C39,'- 22 -'!F39,'- 22 -'!I39)</f>
        <v>1850658</v>
      </c>
      <c r="G39" s="351">
        <f>F39/'- 3 -'!E39</f>
        <v>0.1423470841722095</v>
      </c>
      <c r="H39" s="12">
        <f>F39/'- 7 -'!H39</f>
        <v>972.4950078822911</v>
      </c>
      <c r="I39" s="405">
        <f>SUM('- 23 -'!E39,'- 23 -'!C39)</f>
        <v>65280</v>
      </c>
      <c r="J39" s="351">
        <f>I39/'- 3 -'!E39</f>
        <v>0.005021142563759396</v>
      </c>
    </row>
    <row r="40" spans="1:10" ht="12.75">
      <c r="A40" s="13">
        <v>34</v>
      </c>
      <c r="B40" s="14" t="s">
        <v>145</v>
      </c>
      <c r="C40" s="406">
        <f>SUM('- 18 -'!C40,'- 18 -'!F40,'- 19 -'!C40,'- 19 -'!F40,'- 19 -'!I40,'- 20 -'!C40)</f>
        <v>3461961.84</v>
      </c>
      <c r="D40" s="352">
        <f>C40/'- 3 -'!E40</f>
        <v>0.5980629956440167</v>
      </c>
      <c r="E40" s="14">
        <f>C40/'- 7 -'!D40</f>
        <v>4723.003874488403</v>
      </c>
      <c r="F40" s="406">
        <f>SUM('- 21 -'!C40,'- 21 -'!F40,'- 21 -'!I40,'- 22 -'!C40,'- 22 -'!F40,'- 22 -'!I40)</f>
        <v>485866.77</v>
      </c>
      <c r="G40" s="352">
        <f>F40/'- 3 -'!E40</f>
        <v>0.0839347599366036</v>
      </c>
      <c r="H40" s="14">
        <f>F40/'- 7 -'!H40</f>
        <v>662.8468894952251</v>
      </c>
      <c r="I40" s="406">
        <f>SUM('- 23 -'!E40,'- 23 -'!C40)</f>
        <v>0</v>
      </c>
      <c r="J40" s="352">
        <f>I40/'- 3 -'!E40</f>
        <v>0</v>
      </c>
    </row>
    <row r="41" spans="1:10" ht="12.75">
      <c r="A41" s="11">
        <v>35</v>
      </c>
      <c r="B41" s="12" t="s">
        <v>146</v>
      </c>
      <c r="C41" s="405">
        <f>SUM('- 18 -'!C41,'- 18 -'!F41,'- 19 -'!C41,'- 19 -'!F41,'- 19 -'!I41,'- 20 -'!C41)</f>
        <v>8329437</v>
      </c>
      <c r="D41" s="351">
        <f>C41/'- 3 -'!E41</f>
        <v>0.598430665192029</v>
      </c>
      <c r="E41" s="12">
        <f>C41/'- 7 -'!D41</f>
        <v>4329.679280590498</v>
      </c>
      <c r="F41" s="405">
        <f>SUM('- 21 -'!C41,'- 21 -'!F41,'- 21 -'!I41,'- 22 -'!C41,'- 22 -'!F41,'- 22 -'!I41)</f>
        <v>1551859</v>
      </c>
      <c r="G41" s="351">
        <f>F41/'- 3 -'!E41</f>
        <v>0.11149373164767763</v>
      </c>
      <c r="H41" s="12">
        <f>F41/'- 7 -'!H41</f>
        <v>806.6633745711612</v>
      </c>
      <c r="I41" s="405">
        <f>SUM('- 23 -'!E41,'- 23 -'!C41)</f>
        <v>0</v>
      </c>
      <c r="J41" s="351">
        <f>I41/'- 3 -'!E41</f>
        <v>0</v>
      </c>
    </row>
    <row r="42" spans="1:10" ht="12.75">
      <c r="A42" s="13">
        <v>36</v>
      </c>
      <c r="B42" s="14" t="s">
        <v>147</v>
      </c>
      <c r="C42" s="406">
        <f>SUM('- 18 -'!C42,'- 18 -'!F42,'- 19 -'!C42,'- 19 -'!F42,'- 19 -'!I42,'- 20 -'!C42)</f>
        <v>4579388.63</v>
      </c>
      <c r="D42" s="352">
        <f>C42/'- 3 -'!E42</f>
        <v>0.5714470714223236</v>
      </c>
      <c r="E42" s="14">
        <f>C42/'- 7 -'!D42</f>
        <v>4540.791898859692</v>
      </c>
      <c r="F42" s="406">
        <f>SUM('- 21 -'!C42,'- 21 -'!F42,'- 21 -'!I42,'- 22 -'!C42,'- 22 -'!F42,'- 22 -'!I42)</f>
        <v>599772</v>
      </c>
      <c r="G42" s="352">
        <f>F42/'- 3 -'!E42</f>
        <v>0.07484360481567381</v>
      </c>
      <c r="H42" s="14">
        <f>F42/'- 7 -'!H42</f>
        <v>594.7169062964799</v>
      </c>
      <c r="I42" s="406">
        <f>SUM('- 23 -'!E42,'- 23 -'!C42)</f>
        <v>0</v>
      </c>
      <c r="J42" s="352">
        <f>I42/'- 3 -'!E42</f>
        <v>0</v>
      </c>
    </row>
    <row r="43" spans="1:10" ht="12.75">
      <c r="A43" s="11">
        <v>37</v>
      </c>
      <c r="B43" s="12" t="s">
        <v>148</v>
      </c>
      <c r="C43" s="405">
        <f>SUM('- 18 -'!C43,'- 18 -'!F43,'- 19 -'!C43,'- 19 -'!F43,'- 19 -'!I43,'- 20 -'!C43)</f>
        <v>4197610.34</v>
      </c>
      <c r="D43" s="351">
        <f>C43/'- 3 -'!E43</f>
        <v>0.6107916645139767</v>
      </c>
      <c r="E43" s="12">
        <f>C43/'- 7 -'!D43</f>
        <v>4358.889241952233</v>
      </c>
      <c r="F43" s="405">
        <f>SUM('- 21 -'!C43,'- 21 -'!F43,'- 21 -'!I43,'- 22 -'!C43,'- 22 -'!F43,'- 22 -'!I43)</f>
        <v>588956</v>
      </c>
      <c r="G43" s="351">
        <f>F43/'- 3 -'!E43</f>
        <v>0.08569862050737508</v>
      </c>
      <c r="H43" s="12">
        <f>F43/'- 7 -'!H43</f>
        <v>611.5846313603323</v>
      </c>
      <c r="I43" s="405">
        <f>SUM('- 23 -'!E43,'- 23 -'!C43)</f>
        <v>0</v>
      </c>
      <c r="J43" s="351">
        <f>I43/'- 3 -'!E43</f>
        <v>0</v>
      </c>
    </row>
    <row r="44" spans="1:10" ht="12.75">
      <c r="A44" s="13">
        <v>38</v>
      </c>
      <c r="B44" s="14" t="s">
        <v>149</v>
      </c>
      <c r="C44" s="406">
        <f>SUM('- 18 -'!C44,'- 18 -'!F44,'- 19 -'!C44,'- 19 -'!F44,'- 19 -'!I44,'- 20 -'!C44)</f>
        <v>5095219</v>
      </c>
      <c r="D44" s="352">
        <f>C44/'- 3 -'!E44</f>
        <v>0.5703376925632505</v>
      </c>
      <c r="E44" s="14">
        <f>C44/'- 7 -'!D44</f>
        <v>4362.345034246576</v>
      </c>
      <c r="F44" s="406">
        <f>SUM('- 21 -'!C44,'- 21 -'!F44,'- 21 -'!I44,'- 22 -'!C44,'- 22 -'!F44,'- 22 -'!I44)</f>
        <v>873916</v>
      </c>
      <c r="G44" s="352">
        <f>F44/'- 3 -'!E44</f>
        <v>0.09782253420983585</v>
      </c>
      <c r="H44" s="14">
        <f>F44/'- 7 -'!H44</f>
        <v>748.2157534246576</v>
      </c>
      <c r="I44" s="406">
        <f>SUM('- 23 -'!E44,'- 23 -'!C44)</f>
        <v>0</v>
      </c>
      <c r="J44" s="352">
        <f>I44/'- 3 -'!E44</f>
        <v>0</v>
      </c>
    </row>
    <row r="45" spans="1:10" ht="12.75">
      <c r="A45" s="11">
        <v>39</v>
      </c>
      <c r="B45" s="12" t="s">
        <v>150</v>
      </c>
      <c r="C45" s="405">
        <f>SUM('- 18 -'!C45,'- 18 -'!F45,'- 19 -'!C45,'- 19 -'!F45,'- 19 -'!I45,'- 20 -'!C45)</f>
        <v>9360803</v>
      </c>
      <c r="D45" s="351">
        <f>C45/'- 3 -'!E45</f>
        <v>0.6273109079539751</v>
      </c>
      <c r="E45" s="12">
        <f>C45/'- 7 -'!D45</f>
        <v>4415.473113207548</v>
      </c>
      <c r="F45" s="405">
        <f>SUM('- 21 -'!C45,'- 21 -'!F45,'- 21 -'!I45,'- 22 -'!C45,'- 22 -'!F45,'- 22 -'!I45)</f>
        <v>1336714</v>
      </c>
      <c r="G45" s="351">
        <f>F45/'- 3 -'!E45</f>
        <v>0.08957941674606228</v>
      </c>
      <c r="H45" s="12">
        <f>F45/'- 7 -'!H45</f>
        <v>630.5254716981132</v>
      </c>
      <c r="I45" s="405">
        <f>SUM('- 23 -'!E45,'- 23 -'!C45)</f>
        <v>93619</v>
      </c>
      <c r="J45" s="351">
        <f>I45/'- 3 -'!E45</f>
        <v>0.006273844230216489</v>
      </c>
    </row>
    <row r="46" spans="1:10" ht="12.75">
      <c r="A46" s="13">
        <v>40</v>
      </c>
      <c r="B46" s="14" t="s">
        <v>151</v>
      </c>
      <c r="C46" s="406">
        <f>SUM('- 18 -'!C46,'- 18 -'!F46,'- 19 -'!C46,'- 19 -'!F46,'- 19 -'!I46,'- 20 -'!C46)</f>
        <v>27543471</v>
      </c>
      <c r="D46" s="352">
        <f>C46/'- 3 -'!E46</f>
        <v>0.6148211072604192</v>
      </c>
      <c r="E46" s="14">
        <f>C46/'- 7 -'!D46</f>
        <v>3829.204921451411</v>
      </c>
      <c r="F46" s="406">
        <f>SUM('- 21 -'!C46,'- 21 -'!F46,'- 21 -'!I46,'- 22 -'!C46,'- 22 -'!F46,'- 22 -'!I46)</f>
        <v>6601025</v>
      </c>
      <c r="G46" s="352">
        <f>F46/'- 3 -'!E46</f>
        <v>0.14734706092611596</v>
      </c>
      <c r="H46" s="14">
        <f>F46/'- 7 -'!H46</f>
        <v>891.9098770436427</v>
      </c>
      <c r="I46" s="406">
        <f>SUM('- 23 -'!E46,'- 23 -'!C46)</f>
        <v>0</v>
      </c>
      <c r="J46" s="352">
        <f>I46/'- 3 -'!E46</f>
        <v>0</v>
      </c>
    </row>
    <row r="47" spans="1:10" ht="12.75">
      <c r="A47" s="11">
        <v>41</v>
      </c>
      <c r="B47" s="12" t="s">
        <v>152</v>
      </c>
      <c r="C47" s="405">
        <f>SUM('- 18 -'!C47,'- 18 -'!F47,'- 19 -'!C47,'- 19 -'!F47,'- 19 -'!I47,'- 20 -'!C47)</f>
        <v>6938860</v>
      </c>
      <c r="D47" s="351">
        <f>C47/'- 3 -'!E47</f>
        <v>0.5653539636153694</v>
      </c>
      <c r="E47" s="12">
        <f>C47/'- 7 -'!D47</f>
        <v>4190.8920698194115</v>
      </c>
      <c r="F47" s="405">
        <f>SUM('- 21 -'!C47,'- 21 -'!F47,'- 21 -'!I47,'- 22 -'!C47,'- 22 -'!F47,'- 22 -'!I47)</f>
        <v>1363159</v>
      </c>
      <c r="G47" s="351">
        <f>F47/'- 3 -'!E47</f>
        <v>0.11106541185266215</v>
      </c>
      <c r="H47" s="12">
        <f>F47/'- 7 -'!H47</f>
        <v>823.3127982122365</v>
      </c>
      <c r="I47" s="405">
        <f>SUM('- 23 -'!E47,'- 23 -'!C47)</f>
        <v>103876</v>
      </c>
      <c r="J47" s="351">
        <f>I47/'- 3 -'!E47</f>
        <v>0.008463451968264256</v>
      </c>
    </row>
    <row r="48" spans="1:10" ht="12.75">
      <c r="A48" s="13">
        <v>42</v>
      </c>
      <c r="B48" s="14" t="s">
        <v>153</v>
      </c>
      <c r="C48" s="406">
        <f>SUM('- 18 -'!C48,'- 18 -'!F48,'- 19 -'!C48,'- 19 -'!F48,'- 19 -'!I48,'- 20 -'!C48)</f>
        <v>4614705</v>
      </c>
      <c r="D48" s="352">
        <f>C48/'- 3 -'!E48</f>
        <v>0.5970477433257698</v>
      </c>
      <c r="E48" s="14">
        <f>C48/'- 7 -'!D48</f>
        <v>4365.85146641438</v>
      </c>
      <c r="F48" s="406">
        <f>SUM('- 21 -'!C48,'- 21 -'!F48,'- 21 -'!I48,'- 22 -'!C48,'- 22 -'!F48,'- 22 -'!I48)</f>
        <v>857440</v>
      </c>
      <c r="G48" s="352">
        <f>F48/'- 3 -'!E48</f>
        <v>0.11093506888029638</v>
      </c>
      <c r="H48" s="14">
        <f>F48/'- 7 -'!H48</f>
        <v>811.20151371807</v>
      </c>
      <c r="I48" s="406">
        <f>SUM('- 23 -'!E48,'- 23 -'!C48)</f>
        <v>0</v>
      </c>
      <c r="J48" s="352">
        <f>I48/'- 3 -'!E48</f>
        <v>0</v>
      </c>
    </row>
    <row r="49" spans="1:10" ht="12.75">
      <c r="A49" s="11">
        <v>43</v>
      </c>
      <c r="B49" s="12" t="s">
        <v>154</v>
      </c>
      <c r="C49" s="405">
        <f>SUM('- 18 -'!C49,'- 18 -'!F49,'- 19 -'!C49,'- 19 -'!F49,'- 19 -'!I49,'- 20 -'!C49)</f>
        <v>3849470</v>
      </c>
      <c r="D49" s="351">
        <f>C49/'- 3 -'!E49</f>
        <v>0.6054101235363964</v>
      </c>
      <c r="E49" s="12">
        <f>C49/'- 7 -'!D49</f>
        <v>4944.727039177907</v>
      </c>
      <c r="F49" s="405">
        <f>SUM('- 21 -'!C49,'- 21 -'!F49,'- 21 -'!I49,'- 22 -'!C49,'- 22 -'!F49,'- 22 -'!I49)</f>
        <v>518141</v>
      </c>
      <c r="G49" s="351">
        <f>F49/'- 3 -'!E49</f>
        <v>0.0814885703276742</v>
      </c>
      <c r="H49" s="12">
        <f>F49/'- 7 -'!H49</f>
        <v>665.56326268465</v>
      </c>
      <c r="I49" s="405">
        <f>SUM('- 23 -'!E49,'- 23 -'!C49)</f>
        <v>21435</v>
      </c>
      <c r="J49" s="351">
        <f>I49/'- 3 -'!E49</f>
        <v>0.00337110459310052</v>
      </c>
    </row>
    <row r="50" spans="1:10" ht="12.75">
      <c r="A50" s="13">
        <v>44</v>
      </c>
      <c r="B50" s="14" t="s">
        <v>155</v>
      </c>
      <c r="C50" s="406">
        <f>SUM('- 18 -'!C50,'- 18 -'!F50,'- 19 -'!C50,'- 19 -'!F50,'- 19 -'!I50,'- 20 -'!C50)</f>
        <v>5277822</v>
      </c>
      <c r="D50" s="352">
        <f>C50/'- 3 -'!E50</f>
        <v>0.5705103440105311</v>
      </c>
      <c r="E50" s="14">
        <f>C50/'- 7 -'!D50</f>
        <v>4244.32810615199</v>
      </c>
      <c r="F50" s="406">
        <f>SUM('- 21 -'!C50,'- 21 -'!F50,'- 21 -'!I50,'- 22 -'!C50,'- 22 -'!F50,'- 22 -'!I50)</f>
        <v>1176254</v>
      </c>
      <c r="G50" s="352">
        <f>F50/'- 3 -'!E50</f>
        <v>0.1271481065833147</v>
      </c>
      <c r="H50" s="14">
        <f>F50/'- 7 -'!H50</f>
        <v>945.9219943707278</v>
      </c>
      <c r="I50" s="406">
        <f>SUM('- 23 -'!E50,'- 23 -'!C50)</f>
        <v>353027</v>
      </c>
      <c r="J50" s="352">
        <f>I50/'- 3 -'!E50</f>
        <v>0.03816073282028189</v>
      </c>
    </row>
    <row r="51" spans="1:10" ht="12.75">
      <c r="A51" s="11">
        <v>45</v>
      </c>
      <c r="B51" s="12" t="s">
        <v>156</v>
      </c>
      <c r="C51" s="405">
        <f>SUM('- 18 -'!C51,'- 18 -'!F51,'- 19 -'!C51,'- 19 -'!F51,'- 19 -'!I51,'- 20 -'!C51)</f>
        <v>7126045</v>
      </c>
      <c r="D51" s="351">
        <f>C51/'- 3 -'!E51</f>
        <v>0.5909117745932096</v>
      </c>
      <c r="E51" s="12">
        <f>C51/'- 7 -'!D51</f>
        <v>3857.963835201126</v>
      </c>
      <c r="F51" s="405">
        <f>SUM('- 21 -'!C51,'- 21 -'!F51,'- 21 -'!I51,'- 22 -'!C51,'- 22 -'!F51,'- 22 -'!I51)</f>
        <v>1632023</v>
      </c>
      <c r="G51" s="351">
        <f>F51/'- 3 -'!E51</f>
        <v>0.13533195581938282</v>
      </c>
      <c r="H51" s="12">
        <f>F51/'- 7 -'!H51</f>
        <v>866.2082692001486</v>
      </c>
      <c r="I51" s="405">
        <f>SUM('- 23 -'!E51,'- 23 -'!C51)</f>
        <v>0</v>
      </c>
      <c r="J51" s="351">
        <f>I51/'- 3 -'!E51</f>
        <v>0</v>
      </c>
    </row>
    <row r="52" spans="1:10" ht="12.75">
      <c r="A52" s="13">
        <v>46</v>
      </c>
      <c r="B52" s="14" t="s">
        <v>157</v>
      </c>
      <c r="C52" s="406">
        <f>SUM('- 18 -'!C52,'- 18 -'!F52,'- 19 -'!C52,'- 19 -'!F52,'- 19 -'!I52,'- 20 -'!C52)</f>
        <v>6720247</v>
      </c>
      <c r="D52" s="352">
        <f>C52/'- 3 -'!E52</f>
        <v>0.6143288083378058</v>
      </c>
      <c r="E52" s="14">
        <f>C52/'- 7 -'!D52</f>
        <v>4717.949311991013</v>
      </c>
      <c r="F52" s="406">
        <f>SUM('- 21 -'!C52,'- 21 -'!F52,'- 21 -'!I52,'- 22 -'!C52,'- 22 -'!F52,'- 22 -'!I52)</f>
        <v>1053541.56</v>
      </c>
      <c r="G52" s="352">
        <f>F52/'- 3 -'!E52</f>
        <v>0.09630909862229067</v>
      </c>
      <c r="H52" s="14">
        <f>F52/'- 7 -'!H52</f>
        <v>732.9494643105608</v>
      </c>
      <c r="I52" s="406">
        <f>SUM('- 23 -'!E52,'- 23 -'!C52)</f>
        <v>0</v>
      </c>
      <c r="J52" s="352">
        <f>I52/'- 3 -'!E52</f>
        <v>0</v>
      </c>
    </row>
    <row r="53" spans="1:10" ht="12.75">
      <c r="A53" s="11">
        <v>47</v>
      </c>
      <c r="B53" s="12" t="s">
        <v>158</v>
      </c>
      <c r="C53" s="405">
        <f>SUM('- 18 -'!C53,'- 18 -'!F53,'- 19 -'!C53,'- 19 -'!F53,'- 19 -'!I53,'- 20 -'!C53)</f>
        <v>5513001</v>
      </c>
      <c r="D53" s="351">
        <f>C53/'- 3 -'!E53</f>
        <v>0.5986382583745274</v>
      </c>
      <c r="E53" s="12">
        <f>C53/'- 7 -'!D53</f>
        <v>3840.4743991640544</v>
      </c>
      <c r="F53" s="405">
        <f>SUM('- 21 -'!C53,'- 21 -'!F53,'- 21 -'!I53,'- 22 -'!C53,'- 22 -'!F53,'- 22 -'!I53)</f>
        <v>1071932</v>
      </c>
      <c r="G53" s="351">
        <f>F53/'- 3 -'!E53</f>
        <v>0.11639749486276603</v>
      </c>
      <c r="H53" s="12">
        <f>F53/'- 7 -'!H53</f>
        <v>741.0521949533356</v>
      </c>
      <c r="I53" s="405">
        <f>SUM('- 23 -'!E53,'- 23 -'!C53)</f>
        <v>185894</v>
      </c>
      <c r="J53" s="351">
        <f>I53/'- 3 -'!E53</f>
        <v>0.020185604973094403</v>
      </c>
    </row>
    <row r="54" spans="1:10" ht="12.75">
      <c r="A54" s="13">
        <v>48</v>
      </c>
      <c r="B54" s="14" t="s">
        <v>159</v>
      </c>
      <c r="C54" s="406">
        <f>SUM('- 18 -'!C54,'- 18 -'!F54,'- 19 -'!C54,'- 19 -'!F54,'- 19 -'!I54,'- 20 -'!C54)</f>
        <v>26543173</v>
      </c>
      <c r="D54" s="352">
        <f>C54/'- 3 -'!E54</f>
        <v>0.4468976559517943</v>
      </c>
      <c r="E54" s="14">
        <f>C54/'- 7 -'!D54</f>
        <v>5077.409376972665</v>
      </c>
      <c r="F54" s="406">
        <f>SUM('- 21 -'!C54,'- 21 -'!F54,'- 21 -'!I54,'- 22 -'!C54,'- 22 -'!F54,'- 22 -'!I54)</f>
        <v>8489881</v>
      </c>
      <c r="G54" s="352">
        <f>F54/'- 3 -'!E54</f>
        <v>0.14294100853012845</v>
      </c>
      <c r="H54" s="14">
        <f>F54/'- 7 -'!H54</f>
        <v>1624.0184019740996</v>
      </c>
      <c r="I54" s="406">
        <f>SUM('- 23 -'!E54,'- 23 -'!C54)</f>
        <v>0</v>
      </c>
      <c r="J54" s="352">
        <f>I54/'- 3 -'!E54</f>
        <v>0</v>
      </c>
    </row>
    <row r="55" spans="1:10" ht="12.75">
      <c r="A55" s="11">
        <v>49</v>
      </c>
      <c r="B55" s="12" t="s">
        <v>160</v>
      </c>
      <c r="C55" s="405">
        <f>SUM('- 18 -'!C55,'- 18 -'!F55,'- 19 -'!C55,'- 19 -'!F55,'- 19 -'!I55,'- 20 -'!C55)</f>
        <v>20956686</v>
      </c>
      <c r="D55" s="351">
        <f>C55/'- 3 -'!E55</f>
        <v>0.5785389983282383</v>
      </c>
      <c r="E55" s="12">
        <f>C55/'- 7 -'!D55</f>
        <v>4971.694344277852</v>
      </c>
      <c r="F55" s="405">
        <f>SUM('- 21 -'!C55,'- 21 -'!F55,'- 21 -'!I55,'- 22 -'!C55,'- 22 -'!F55,'- 22 -'!I55)</f>
        <v>3824187</v>
      </c>
      <c r="G55" s="351">
        <f>F55/'- 3 -'!E55</f>
        <v>0.10557209839379521</v>
      </c>
      <c r="H55" s="12">
        <f>F55/'- 7 -'!H55</f>
        <v>897.5279290274127</v>
      </c>
      <c r="I55" s="405">
        <f>SUM('- 23 -'!E55,'- 23 -'!C55)</f>
        <v>0</v>
      </c>
      <c r="J55" s="351">
        <f>I55/'- 3 -'!E55</f>
        <v>0</v>
      </c>
    </row>
    <row r="56" spans="1:10" ht="12.75">
      <c r="A56" s="13">
        <v>50</v>
      </c>
      <c r="B56" s="14" t="s">
        <v>343</v>
      </c>
      <c r="C56" s="406">
        <f>SUM('- 18 -'!C56,'- 18 -'!F56,'- 19 -'!C56,'- 19 -'!F56,'- 19 -'!I56,'- 20 -'!C56)</f>
        <v>8209584</v>
      </c>
      <c r="D56" s="352">
        <f>C56/'- 3 -'!E56</f>
        <v>0.5695468605416395</v>
      </c>
      <c r="E56" s="14">
        <f>C56/'- 7 -'!D56</f>
        <v>4658.448618282926</v>
      </c>
      <c r="F56" s="406">
        <f>SUM('- 21 -'!C56,'- 21 -'!F56,'- 21 -'!I56,'- 22 -'!C56,'- 22 -'!F56,'- 22 -'!I56)</f>
        <v>1748463</v>
      </c>
      <c r="G56" s="352">
        <f>F56/'- 3 -'!E56</f>
        <v>0.12130110519890125</v>
      </c>
      <c r="H56" s="14">
        <f>F56/'- 7 -'!H56</f>
        <v>992.1483288883845</v>
      </c>
      <c r="I56" s="406">
        <f>SUM('- 23 -'!E56,'- 23 -'!C56)</f>
        <v>0</v>
      </c>
      <c r="J56" s="352">
        <f>I56/'- 3 -'!E56</f>
        <v>0</v>
      </c>
    </row>
    <row r="57" spans="1:10" ht="12.75">
      <c r="A57" s="11">
        <v>2264</v>
      </c>
      <c r="B57" s="12" t="s">
        <v>161</v>
      </c>
      <c r="C57" s="405">
        <f>SUM('- 18 -'!C57,'- 18 -'!F57,'- 19 -'!C57,'- 19 -'!F57,'- 19 -'!I57,'- 20 -'!C57)</f>
        <v>1203981</v>
      </c>
      <c r="D57" s="351">
        <f>C57/'- 3 -'!E57</f>
        <v>0.5718971327594027</v>
      </c>
      <c r="E57" s="12">
        <f>C57/'- 7 -'!D57</f>
        <v>6127.1297709923665</v>
      </c>
      <c r="F57" s="405">
        <f>SUM('- 21 -'!C57,'- 21 -'!F57,'- 21 -'!I57,'- 22 -'!C57,'- 22 -'!F57,'- 22 -'!I57)</f>
        <v>243708</v>
      </c>
      <c r="G57" s="351">
        <f>F57/'- 3 -'!E57</f>
        <v>0.11576254644427819</v>
      </c>
      <c r="H57" s="12">
        <f>F57/'- 7 -'!H57</f>
        <v>1240.2442748091603</v>
      </c>
      <c r="I57" s="405">
        <f>SUM('- 23 -'!E57,'- 23 -'!C57)</f>
        <v>0</v>
      </c>
      <c r="J57" s="351">
        <f>I57/'- 3 -'!E57</f>
        <v>0</v>
      </c>
    </row>
    <row r="58" spans="1:10" ht="12.75">
      <c r="A58" s="13">
        <v>2309</v>
      </c>
      <c r="B58" s="14" t="s">
        <v>162</v>
      </c>
      <c r="C58" s="406">
        <f>SUM('- 18 -'!C58,'- 18 -'!F58,'- 19 -'!C58,'- 19 -'!F58,'- 19 -'!I58,'- 20 -'!C58)</f>
        <v>1366956</v>
      </c>
      <c r="D58" s="352">
        <f>C58/'- 3 -'!E58</f>
        <v>0.6034662237867819</v>
      </c>
      <c r="E58" s="14">
        <f>C58/'- 7 -'!D58</f>
        <v>5243.406214039126</v>
      </c>
      <c r="F58" s="406">
        <f>SUM('- 21 -'!C58,'- 21 -'!F58,'- 21 -'!I58,'- 22 -'!C58,'- 22 -'!F58,'- 22 -'!I58)</f>
        <v>182650</v>
      </c>
      <c r="G58" s="352">
        <f>F58/'- 3 -'!E58</f>
        <v>0.08063398220180878</v>
      </c>
      <c r="H58" s="14">
        <f>F58/'- 7 -'!H58</f>
        <v>700.6137322593019</v>
      </c>
      <c r="I58" s="406">
        <f>SUM('- 23 -'!E58,'- 23 -'!C58)</f>
        <v>0</v>
      </c>
      <c r="J58" s="352">
        <f>I58/'- 3 -'!E58</f>
        <v>0</v>
      </c>
    </row>
    <row r="59" spans="1:10" ht="12.75">
      <c r="A59" s="11">
        <v>2312</v>
      </c>
      <c r="B59" s="12" t="s">
        <v>163</v>
      </c>
      <c r="C59" s="405">
        <f>SUM('- 18 -'!C59,'- 18 -'!F59,'- 19 -'!C59,'- 19 -'!F59,'- 19 -'!I59,'- 20 -'!C59)</f>
        <v>1219579</v>
      </c>
      <c r="D59" s="351">
        <f>C59/'- 3 -'!E59</f>
        <v>0.6054325049779263</v>
      </c>
      <c r="E59" s="12">
        <f>C59/'- 7 -'!D59</f>
        <v>7009.074712643678</v>
      </c>
      <c r="F59" s="405">
        <f>SUM('- 21 -'!C59,'- 21 -'!F59,'- 21 -'!I59,'- 22 -'!C59,'- 22 -'!F59,'- 22 -'!I59)</f>
        <v>243503</v>
      </c>
      <c r="G59" s="351">
        <f>F59/'- 3 -'!E59</f>
        <v>0.12088157574018575</v>
      </c>
      <c r="H59" s="12">
        <f>F59/'- 7 -'!H59</f>
        <v>1399.442528735632</v>
      </c>
      <c r="I59" s="405">
        <f>SUM('- 23 -'!E59,'- 23 -'!C59)</f>
        <v>0</v>
      </c>
      <c r="J59" s="351">
        <f>I59/'- 3 -'!E59</f>
        <v>0</v>
      </c>
    </row>
    <row r="60" spans="1:10" ht="12.75">
      <c r="A60" s="13">
        <v>2355</v>
      </c>
      <c r="B60" s="14" t="s">
        <v>164</v>
      </c>
      <c r="C60" s="406">
        <f>SUM('- 18 -'!C60,'- 18 -'!F60,'- 19 -'!C60,'- 19 -'!F60,'- 19 -'!I60,'- 20 -'!C60)</f>
        <v>14683742</v>
      </c>
      <c r="D60" s="352">
        <f>C60/'- 3 -'!E60</f>
        <v>0.5902986982507523</v>
      </c>
      <c r="E60" s="14">
        <f>C60/'- 7 -'!D60</f>
        <v>4517.657447004892</v>
      </c>
      <c r="F60" s="406">
        <f>SUM('- 21 -'!C60,'- 21 -'!F60,'- 21 -'!I60,'- 22 -'!C60,'- 22 -'!F60,'- 22 -'!I60)</f>
        <v>3824863.83</v>
      </c>
      <c r="G60" s="352">
        <f>F60/'- 3 -'!E60</f>
        <v>0.15376272205241598</v>
      </c>
      <c r="H60" s="14">
        <f>F60/'- 7 -'!H60</f>
        <v>1151.6164845090777</v>
      </c>
      <c r="I60" s="406">
        <f>SUM('- 23 -'!E60,'- 23 -'!C60)</f>
        <v>0</v>
      </c>
      <c r="J60" s="352">
        <f>I60/'- 3 -'!E60</f>
        <v>0</v>
      </c>
    </row>
    <row r="61" spans="1:10" ht="12.75">
      <c r="A61" s="11">
        <v>2439</v>
      </c>
      <c r="B61" s="12" t="s">
        <v>165</v>
      </c>
      <c r="C61" s="405">
        <f>SUM('- 18 -'!C61,'- 18 -'!F61,'- 19 -'!C61,'- 19 -'!F61,'- 19 -'!I61,'- 20 -'!C61)</f>
        <v>656777.13</v>
      </c>
      <c r="D61" s="351">
        <f>C61/'- 3 -'!E61</f>
        <v>0.4700726265310055</v>
      </c>
      <c r="E61" s="12">
        <f>C61/'- 7 -'!D61</f>
        <v>4363.967641196014</v>
      </c>
      <c r="F61" s="405">
        <f>SUM('- 21 -'!C61,'- 21 -'!F61,'- 21 -'!I61,'- 22 -'!C61,'- 22 -'!F61,'- 22 -'!I61)</f>
        <v>277641.97</v>
      </c>
      <c r="G61" s="351">
        <f>F61/'- 3 -'!E61</f>
        <v>0.19871564357477342</v>
      </c>
      <c r="H61" s="12">
        <f>F61/'- 7 -'!H61</f>
        <v>1774.0700958466452</v>
      </c>
      <c r="I61" s="405">
        <f>SUM('- 23 -'!E61,'- 23 -'!C61)</f>
        <v>70476.08</v>
      </c>
      <c r="J61" s="351">
        <f>I61/'- 3 -'!E61</f>
        <v>0.050441579829689366</v>
      </c>
    </row>
    <row r="62" spans="1:10" ht="12.75">
      <c r="A62" s="13">
        <v>2460</v>
      </c>
      <c r="B62" s="14" t="s">
        <v>166</v>
      </c>
      <c r="C62" s="406">
        <f>SUM('- 18 -'!C62,'- 18 -'!F62,'- 19 -'!C62,'- 19 -'!F62,'- 19 -'!I62,'- 20 -'!C62)</f>
        <v>1964365</v>
      </c>
      <c r="D62" s="352">
        <f>C62/'- 3 -'!E62</f>
        <v>0.5944486272724961</v>
      </c>
      <c r="E62" s="14">
        <f>C62/'- 7 -'!D62</f>
        <v>7216.623806024982</v>
      </c>
      <c r="F62" s="406">
        <f>SUM('- 21 -'!C62,'- 21 -'!F62,'- 21 -'!I62,'- 22 -'!C62,'- 22 -'!F62,'- 22 -'!I62)</f>
        <v>216489</v>
      </c>
      <c r="G62" s="352">
        <f>F62/'- 3 -'!E62</f>
        <v>0.06551307362409503</v>
      </c>
      <c r="H62" s="14">
        <f>F62/'- 7 -'!H62</f>
        <v>795.330639235856</v>
      </c>
      <c r="I62" s="406">
        <f>SUM('- 23 -'!E62,'- 23 -'!C62)</f>
        <v>0</v>
      </c>
      <c r="J62" s="352">
        <f>I62/'- 3 -'!E62</f>
        <v>0</v>
      </c>
    </row>
    <row r="63" spans="1:10" ht="12.75">
      <c r="A63" s="11">
        <v>3000</v>
      </c>
      <c r="B63" s="12" t="s">
        <v>366</v>
      </c>
      <c r="C63" s="405">
        <f>SUM('- 18 -'!C63,'- 18 -'!F63,'- 19 -'!C63,'- 19 -'!F63,'- 19 -'!I63,'- 20 -'!C63)</f>
        <v>3175550</v>
      </c>
      <c r="D63" s="351">
        <f>C63/'- 3 -'!E63</f>
        <v>0.5506520845724472</v>
      </c>
      <c r="E63" s="12">
        <f>C63/'- 7 -'!D63</f>
        <v>4729.7438188859105</v>
      </c>
      <c r="F63" s="405">
        <f>SUM('- 21 -'!C63,'- 21 -'!F63,'- 21 -'!I63,'- 22 -'!C63,'- 22 -'!F63,'- 22 -'!I63)</f>
        <v>163398</v>
      </c>
      <c r="G63" s="351">
        <f>F63/'- 3 -'!E63</f>
        <v>0.02833381597360102</v>
      </c>
      <c r="H63" s="12">
        <f>F63/'- 7 -'!H63</f>
        <v>243.3690795352994</v>
      </c>
      <c r="I63" s="405">
        <f>SUM('- 23 -'!E63,'- 23 -'!C63)</f>
        <v>0</v>
      </c>
      <c r="J63" s="351">
        <f>I63/'- 3 -'!E63</f>
        <v>0</v>
      </c>
    </row>
    <row r="64" spans="1:10" ht="4.5" customHeight="1">
      <c r="A64" s="15"/>
      <c r="B64" s="15"/>
      <c r="C64" s="412"/>
      <c r="D64" s="194"/>
      <c r="E64" s="15"/>
      <c r="F64" s="412"/>
      <c r="G64" s="194"/>
      <c r="H64" s="15"/>
      <c r="I64" s="412"/>
      <c r="J64" s="194"/>
    </row>
    <row r="65" spans="1:10" ht="12.75">
      <c r="A65" s="17"/>
      <c r="B65" s="18" t="s">
        <v>167</v>
      </c>
      <c r="C65" s="407">
        <f>SUM(C11:C63)</f>
        <v>756656609.0600001</v>
      </c>
      <c r="D65" s="100">
        <f>C65/'- 3 -'!E65</f>
        <v>0.5831372482769773</v>
      </c>
      <c r="E65" s="18">
        <f>C65/'- 7 -'!D65</f>
        <v>4229.211295788504</v>
      </c>
      <c r="F65" s="407">
        <f>SUM(F11:F63)</f>
        <v>179917545.50000003</v>
      </c>
      <c r="G65" s="100">
        <f>F65/'- 3 -'!E65</f>
        <v>0.1386581722056939</v>
      </c>
      <c r="H65" s="18">
        <f>F65/'- 7 -'!H65</f>
        <v>992.7499106253555</v>
      </c>
      <c r="I65" s="407">
        <f>SUM(I11:I63)</f>
        <v>7265082.08</v>
      </c>
      <c r="J65" s="100">
        <f>I65/'- 3 -'!E65</f>
        <v>0.005599025927891734</v>
      </c>
    </row>
    <row r="66" spans="1:10" ht="4.5" customHeight="1">
      <c r="A66" s="15"/>
      <c r="B66" s="15"/>
      <c r="C66" s="412"/>
      <c r="D66" s="194"/>
      <c r="E66" s="15"/>
      <c r="F66" s="412"/>
      <c r="G66" s="194"/>
      <c r="H66" s="15"/>
      <c r="I66" s="412"/>
      <c r="J66" s="194"/>
    </row>
    <row r="67" spans="1:10" ht="12.75">
      <c r="A67" s="13">
        <v>2155</v>
      </c>
      <c r="B67" s="14" t="s">
        <v>168</v>
      </c>
      <c r="C67" s="406">
        <f>SUM('- 18 -'!C67,'- 18 -'!F67,'- 19 -'!C67,'- 19 -'!F67,'- 19 -'!I67,'- 20 -'!C67)</f>
        <v>796822.46</v>
      </c>
      <c r="D67" s="352">
        <f>C67/'- 3 -'!E67</f>
        <v>0.6659068567143135</v>
      </c>
      <c r="E67" s="14">
        <f>C67/'- 7 -'!D67</f>
        <v>5457.68808219178</v>
      </c>
      <c r="F67" s="406">
        <f>SUM('- 21 -'!C67,'- 21 -'!F67,'- 21 -'!I67,'- 22 -'!C67,'- 22 -'!F67,'- 22 -'!I67)</f>
        <v>105721.89</v>
      </c>
      <c r="G67" s="352">
        <f>F67/'- 3 -'!E67</f>
        <v>0.08835209220357118</v>
      </c>
      <c r="H67" s="14">
        <f>F67/'- 7 -'!H67</f>
        <v>724.1225342465754</v>
      </c>
      <c r="I67" s="406">
        <f>SUM('- 23 -'!E67,'- 23 -'!C67)</f>
        <v>0</v>
      </c>
      <c r="J67" s="352">
        <f>I67/'- 3 -'!E67</f>
        <v>0</v>
      </c>
    </row>
    <row r="68" spans="1:10" ht="12.75">
      <c r="A68" s="11">
        <v>2408</v>
      </c>
      <c r="B68" s="12" t="s">
        <v>170</v>
      </c>
      <c r="C68" s="405">
        <f>SUM('- 18 -'!C68,'- 18 -'!F68,'- 19 -'!C68,'- 19 -'!F68,'- 19 -'!I68,'- 20 -'!C68)</f>
        <v>1375714</v>
      </c>
      <c r="D68" s="351">
        <f>C68/'- 3 -'!E68</f>
        <v>0.6416803953871499</v>
      </c>
      <c r="E68" s="12">
        <f>C68/'- 7 -'!D68</f>
        <v>5332.224806201551</v>
      </c>
      <c r="F68" s="405">
        <f>SUM('- 21 -'!C68,'- 21 -'!F68,'- 21 -'!I68,'- 22 -'!C68,'- 22 -'!F68,'- 22 -'!I68)</f>
        <v>180377</v>
      </c>
      <c r="G68" s="351">
        <f>F68/'- 3 -'!E68</f>
        <v>0.08413404579639949</v>
      </c>
      <c r="H68" s="12">
        <f>F68/'- 7 -'!H68</f>
        <v>699.1356589147287</v>
      </c>
      <c r="I68" s="405">
        <f>SUM('- 23 -'!E68,'- 23 -'!C68)</f>
        <v>0</v>
      </c>
      <c r="J68" s="351">
        <f>I68/'- 3 -'!E68</f>
        <v>0</v>
      </c>
    </row>
    <row r="69" ht="6.75" customHeight="1"/>
    <row r="70" spans="1:10" ht="12" customHeight="1">
      <c r="A70" s="380" t="s">
        <v>354</v>
      </c>
      <c r="B70" s="4" t="s">
        <v>463</v>
      </c>
      <c r="C70" s="15"/>
      <c r="D70" s="15"/>
      <c r="E70" s="15"/>
      <c r="F70" s="15"/>
      <c r="G70" s="15"/>
      <c r="H70" s="15"/>
      <c r="I70" s="15"/>
      <c r="J70" s="15"/>
    </row>
    <row r="71" spans="1:10" ht="8.25" customHeight="1">
      <c r="A71" s="4"/>
      <c r="B71" s="4"/>
      <c r="C71" s="148"/>
      <c r="D71" s="148"/>
      <c r="F71" s="148"/>
      <c r="G71" s="148"/>
      <c r="I71" s="148"/>
      <c r="J71" s="148"/>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row r="75" spans="3:10" ht="12" customHeight="1">
      <c r="C75" s="15"/>
      <c r="D75" s="15"/>
      <c r="E75" s="15"/>
      <c r="F75" s="15"/>
      <c r="G75" s="15"/>
      <c r="H75" s="15"/>
      <c r="I75" s="15"/>
      <c r="J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75"/>
  <sheetViews>
    <sheetView showGridLines="0" showZeros="0" workbookViewId="0" topLeftCell="A1">
      <selection activeCell="A1" sqref="A1"/>
    </sheetView>
  </sheetViews>
  <sheetFormatPr defaultColWidth="15.83203125" defaultRowHeight="12"/>
  <cols>
    <col min="1" max="1" width="6.83203125" style="79" customWidth="1"/>
    <col min="2" max="2" width="32.83203125" style="79" customWidth="1"/>
    <col min="3" max="3" width="20.83203125" style="79" customWidth="1"/>
    <col min="4" max="4" width="9.83203125" style="79" customWidth="1"/>
    <col min="5" max="5" width="15.83203125" style="79" customWidth="1"/>
    <col min="6" max="6" width="7.83203125" style="79" customWidth="1"/>
    <col min="7" max="7" width="9.83203125" style="79" customWidth="1"/>
    <col min="8" max="8" width="15.83203125" style="79" customWidth="1"/>
    <col min="9" max="9" width="7.83203125" style="79" customWidth="1"/>
    <col min="10" max="10" width="9.83203125" style="79" customWidth="1"/>
    <col min="11" max="16384" width="15.83203125" style="79" customWidth="1"/>
  </cols>
  <sheetData>
    <row r="1" spans="1:10" ht="6.75" customHeight="1">
      <c r="A1" s="15"/>
      <c r="B1" s="19"/>
      <c r="C1" s="54"/>
      <c r="D1" s="54"/>
      <c r="E1" s="54"/>
      <c r="F1" s="54"/>
      <c r="G1" s="54"/>
      <c r="H1" s="54"/>
      <c r="I1" s="54"/>
      <c r="J1" s="54"/>
    </row>
    <row r="2" spans="1:10" ht="12.75">
      <c r="A2" s="6"/>
      <c r="B2" s="21"/>
      <c r="C2" s="55" t="s">
        <v>1</v>
      </c>
      <c r="D2" s="55"/>
      <c r="E2" s="55"/>
      <c r="F2" s="55"/>
      <c r="G2" s="55"/>
      <c r="H2" s="56"/>
      <c r="I2" s="57"/>
      <c r="J2" s="57" t="s">
        <v>4</v>
      </c>
    </row>
    <row r="3" spans="1:10" ht="12.75">
      <c r="A3" s="7"/>
      <c r="B3" s="25"/>
      <c r="C3" s="58" t="str">
        <f>YEAR</f>
        <v>OPERATING FUND ACTUAL 2001/2002</v>
      </c>
      <c r="D3" s="58"/>
      <c r="E3" s="58"/>
      <c r="F3" s="58"/>
      <c r="G3" s="58"/>
      <c r="H3" s="59"/>
      <c r="I3" s="60"/>
      <c r="J3" s="60"/>
    </row>
    <row r="4" spans="1:10" ht="12.75">
      <c r="A4" s="8"/>
      <c r="B4" s="15"/>
      <c r="C4" s="54"/>
      <c r="D4" s="54"/>
      <c r="E4" s="54"/>
      <c r="F4" s="54"/>
      <c r="G4" s="54"/>
      <c r="H4" s="54"/>
      <c r="I4" s="54"/>
      <c r="J4" s="54"/>
    </row>
    <row r="5" spans="1:10" ht="12.75">
      <c r="A5" s="8"/>
      <c r="B5" s="15"/>
      <c r="C5" s="54"/>
      <c r="D5" s="54"/>
      <c r="E5" s="54"/>
      <c r="F5" s="54"/>
      <c r="G5" s="54"/>
      <c r="H5" s="54"/>
      <c r="I5" s="54"/>
      <c r="J5" s="54"/>
    </row>
    <row r="6" spans="1:10" ht="12.75">
      <c r="A6" s="8"/>
      <c r="B6" s="15"/>
      <c r="C6" s="64" t="s">
        <v>66</v>
      </c>
      <c r="D6" s="62"/>
      <c r="E6" s="64" t="s">
        <v>336</v>
      </c>
      <c r="F6" s="62"/>
      <c r="G6" s="63"/>
      <c r="H6" s="64" t="s">
        <v>30</v>
      </c>
      <c r="I6" s="62"/>
      <c r="J6" s="63"/>
    </row>
    <row r="7" spans="1:10" ht="12.75">
      <c r="A7" s="15"/>
      <c r="B7" s="15"/>
      <c r="C7" s="65" t="s">
        <v>421</v>
      </c>
      <c r="D7" s="66"/>
      <c r="E7" s="65" t="s">
        <v>38</v>
      </c>
      <c r="F7" s="66"/>
      <c r="G7" s="67"/>
      <c r="H7" s="65" t="s">
        <v>45</v>
      </c>
      <c r="I7" s="66"/>
      <c r="J7" s="67"/>
    </row>
    <row r="8" spans="1:10" ht="12.75">
      <c r="A8" s="42"/>
      <c r="B8" s="43"/>
      <c r="C8" s="76" t="s">
        <v>3</v>
      </c>
      <c r="D8" s="69"/>
      <c r="E8" s="71"/>
      <c r="F8" s="70"/>
      <c r="G8" s="70" t="s">
        <v>76</v>
      </c>
      <c r="H8" s="71"/>
      <c r="I8" s="70"/>
      <c r="J8" s="70" t="s">
        <v>76</v>
      </c>
    </row>
    <row r="9" spans="1:10" ht="12.75">
      <c r="A9" s="49" t="s">
        <v>101</v>
      </c>
      <c r="B9" s="50" t="s">
        <v>102</v>
      </c>
      <c r="C9" s="72" t="s">
        <v>103</v>
      </c>
      <c r="D9" s="73" t="s">
        <v>104</v>
      </c>
      <c r="E9" s="73" t="s">
        <v>103</v>
      </c>
      <c r="F9" s="73" t="s">
        <v>104</v>
      </c>
      <c r="G9" s="73" t="s">
        <v>105</v>
      </c>
      <c r="H9" s="73" t="s">
        <v>103</v>
      </c>
      <c r="I9" s="73" t="s">
        <v>104</v>
      </c>
      <c r="J9" s="73" t="s">
        <v>105</v>
      </c>
    </row>
    <row r="10" spans="1:10" ht="4.5" customHeight="1">
      <c r="A10" s="74"/>
      <c r="B10" s="74"/>
      <c r="C10" s="15"/>
      <c r="D10" s="15"/>
      <c r="E10" s="15"/>
      <c r="F10" s="15"/>
      <c r="G10" s="15"/>
      <c r="H10" s="15"/>
      <c r="I10" s="15"/>
      <c r="J10" s="15"/>
    </row>
    <row r="11" spans="1:10" ht="12.75">
      <c r="A11" s="11">
        <v>1</v>
      </c>
      <c r="B11" s="12" t="s">
        <v>116</v>
      </c>
      <c r="C11" s="405">
        <f>SUM('- 24 -'!I11,'- 24 -'!G11,'- 24 -'!E11,'- 24 -'!C11)</f>
        <v>4679407</v>
      </c>
      <c r="D11" s="351">
        <f>C11/'- 3 -'!E11</f>
        <v>0.019413920844312982</v>
      </c>
      <c r="E11" s="405">
        <f>SUM('- 25 -'!C11,'- 25 -'!F11,'- 25 -'!I11,'- 26 -'!C11)</f>
        <v>6706231</v>
      </c>
      <c r="F11" s="351">
        <f>E11/'- 3 -'!E11</f>
        <v>0.027822806991928226</v>
      </c>
      <c r="G11" s="405">
        <f>E11/'- 7 -'!H11</f>
        <v>217.78214741518448</v>
      </c>
      <c r="H11" s="405">
        <f>SUM('- 29 -'!C11,'- 28 -'!I11,'- 28 -'!F11,'- 28 -'!C11,'- 27 -'!I11,'- 27 -'!F11,'- 27 -'!C11)</f>
        <v>12222759</v>
      </c>
      <c r="I11" s="351">
        <f>H11/'- 3 -'!E11</f>
        <v>0.05070977491915409</v>
      </c>
      <c r="J11" s="405">
        <f>H11/'- 7 -'!H11</f>
        <v>396.9291696570358</v>
      </c>
    </row>
    <row r="12" spans="1:10" ht="12.75">
      <c r="A12" s="13">
        <v>2</v>
      </c>
      <c r="B12" s="14" t="s">
        <v>117</v>
      </c>
      <c r="C12" s="406">
        <f>SUM('- 24 -'!I12,'- 24 -'!G12,'- 24 -'!E12,'- 24 -'!C12)</f>
        <v>503940</v>
      </c>
      <c r="D12" s="352">
        <f>C12/'- 3 -'!E12</f>
        <v>0.00838619902626634</v>
      </c>
      <c r="E12" s="406">
        <f>SUM('- 25 -'!C12,'- 25 -'!F12,'- 25 -'!I12,'- 26 -'!C12)</f>
        <v>1904448</v>
      </c>
      <c r="F12" s="352">
        <f>E12/'- 3 -'!E12</f>
        <v>0.031692423628159855</v>
      </c>
      <c r="G12" s="406">
        <f>E12/'- 7 -'!H12</f>
        <v>208.3214922111122</v>
      </c>
      <c r="H12" s="406">
        <f>SUM('- 29 -'!C12,'- 28 -'!I12,'- 28 -'!F12,'- 28 -'!C12,'- 27 -'!I12,'- 27 -'!F12,'- 27 -'!C12)</f>
        <v>2934446</v>
      </c>
      <c r="I12" s="352">
        <f>H12/'- 3 -'!E12</f>
        <v>0.04883289317742421</v>
      </c>
      <c r="J12" s="406">
        <f>H12/'- 7 -'!H12</f>
        <v>320.98968810538764</v>
      </c>
    </row>
    <row r="13" spans="1:10" ht="12.75">
      <c r="A13" s="11">
        <v>3</v>
      </c>
      <c r="B13" s="12" t="s">
        <v>118</v>
      </c>
      <c r="C13" s="405">
        <f>SUM('- 24 -'!I13,'- 24 -'!G13,'- 24 -'!E13,'- 24 -'!C13)</f>
        <v>124281</v>
      </c>
      <c r="D13" s="351">
        <f>C13/'- 3 -'!E13</f>
        <v>0.0029604529732922985</v>
      </c>
      <c r="E13" s="405">
        <f>SUM('- 25 -'!C13,'- 25 -'!F13,'- 25 -'!I13,'- 26 -'!C13)</f>
        <v>1612511</v>
      </c>
      <c r="F13" s="351">
        <f>E13/'- 3 -'!E13</f>
        <v>0.038411044201579786</v>
      </c>
      <c r="G13" s="405">
        <f>E13/'- 7 -'!H13</f>
        <v>275.478090031605</v>
      </c>
      <c r="H13" s="405">
        <f>SUM('- 29 -'!C13,'- 28 -'!I13,'- 28 -'!F13,'- 28 -'!C13,'- 27 -'!I13,'- 27 -'!F13,'- 27 -'!C13)</f>
        <v>2615448</v>
      </c>
      <c r="I13" s="351">
        <f>H13/'- 3 -'!E13</f>
        <v>0.06230164552981868</v>
      </c>
      <c r="J13" s="405">
        <f>H13/'- 7 -'!H13</f>
        <v>446.8178013154523</v>
      </c>
    </row>
    <row r="14" spans="1:10" ht="12.75">
      <c r="A14" s="13">
        <v>4</v>
      </c>
      <c r="B14" s="14" t="s">
        <v>119</v>
      </c>
      <c r="C14" s="406">
        <f>SUM('- 24 -'!I14,'- 24 -'!G14,'- 24 -'!E14,'- 24 -'!C14)</f>
        <v>192609</v>
      </c>
      <c r="D14" s="352">
        <f>C14/'- 3 -'!E14</f>
        <v>0.004633851023517305</v>
      </c>
      <c r="E14" s="406">
        <f>SUM('- 25 -'!C14,'- 25 -'!F14,'- 25 -'!I14,'- 26 -'!C14)</f>
        <v>1360111</v>
      </c>
      <c r="F14" s="352">
        <f>E14/'- 3 -'!E14</f>
        <v>0.03272200026710666</v>
      </c>
      <c r="G14" s="406">
        <f>E14/'- 7 -'!H14</f>
        <v>230.06715382793735</v>
      </c>
      <c r="H14" s="406">
        <f>SUM('- 29 -'!C14,'- 28 -'!I14,'- 28 -'!F14,'- 28 -'!C14,'- 27 -'!I14,'- 27 -'!F14,'- 27 -'!C14)</f>
        <v>2787950</v>
      </c>
      <c r="I14" s="352">
        <f>H14/'- 3 -'!E14</f>
        <v>0.06707342315787461</v>
      </c>
      <c r="J14" s="406">
        <f>H14/'- 7 -'!H14</f>
        <v>471.59071687134207</v>
      </c>
    </row>
    <row r="15" spans="1:10" ht="12.75">
      <c r="A15" s="11">
        <v>5</v>
      </c>
      <c r="B15" s="12" t="s">
        <v>120</v>
      </c>
      <c r="C15" s="405">
        <f>SUM('- 24 -'!I15,'- 24 -'!G15,'- 24 -'!E15,'- 24 -'!C15)</f>
        <v>27377</v>
      </c>
      <c r="D15" s="351">
        <f>C15/'- 3 -'!E15</f>
        <v>0.0005447327090890554</v>
      </c>
      <c r="E15" s="405">
        <f>SUM('- 25 -'!C15,'- 25 -'!F15,'- 25 -'!I15,'- 26 -'!C15)</f>
        <v>2234691</v>
      </c>
      <c r="F15" s="351">
        <f>E15/'- 3 -'!E15</f>
        <v>0.04446467043163715</v>
      </c>
      <c r="G15" s="405">
        <f>E15/'- 7 -'!H15</f>
        <v>309.7842993193506</v>
      </c>
      <c r="H15" s="405">
        <f>SUM('- 29 -'!C15,'- 28 -'!I15,'- 28 -'!F15,'- 28 -'!C15,'- 27 -'!I15,'- 27 -'!F15,'- 27 -'!C15)</f>
        <v>3320058</v>
      </c>
      <c r="I15" s="351">
        <f>H15/'- 3 -'!E15</f>
        <v>0.06606071478514049</v>
      </c>
      <c r="J15" s="405">
        <f>H15/'- 7 -'!H15</f>
        <v>460.243425703869</v>
      </c>
    </row>
    <row r="16" spans="1:10" ht="12.75">
      <c r="A16" s="13">
        <v>6</v>
      </c>
      <c r="B16" s="14" t="s">
        <v>121</v>
      </c>
      <c r="C16" s="406">
        <f>SUM('- 24 -'!I16,'- 24 -'!G16,'- 24 -'!E16,'- 24 -'!C16)</f>
        <v>257402</v>
      </c>
      <c r="D16" s="352">
        <f>C16/'- 3 -'!E16</f>
        <v>0.004444387120238575</v>
      </c>
      <c r="E16" s="406">
        <f>SUM('- 25 -'!C16,'- 25 -'!F16,'- 25 -'!I16,'- 26 -'!C16)</f>
        <v>2036569</v>
      </c>
      <c r="F16" s="352">
        <f>E16/'- 3 -'!E16</f>
        <v>0.03516406645277486</v>
      </c>
      <c r="G16" s="406">
        <f>E16/'- 7 -'!H16</f>
        <v>231.84984061930783</v>
      </c>
      <c r="H16" s="406">
        <f>SUM('- 29 -'!C16,'- 28 -'!I16,'- 28 -'!F16,'- 28 -'!C16,'- 27 -'!I16,'- 27 -'!F16,'- 27 -'!C16)</f>
        <v>3964422</v>
      </c>
      <c r="I16" s="352">
        <f>H16/'- 3 -'!E16</f>
        <v>0.06845100689190625</v>
      </c>
      <c r="J16" s="406">
        <f>H16/'- 7 -'!H16</f>
        <v>451.323087431694</v>
      </c>
    </row>
    <row r="17" spans="1:10" ht="12.75">
      <c r="A17" s="11">
        <v>9</v>
      </c>
      <c r="B17" s="12" t="s">
        <v>122</v>
      </c>
      <c r="C17" s="405">
        <f>SUM('- 24 -'!I17,'- 24 -'!G17,'- 24 -'!E17,'- 24 -'!C17)</f>
        <v>292268</v>
      </c>
      <c r="D17" s="351">
        <f>C17/'- 3 -'!E17</f>
        <v>0.0035851566458111107</v>
      </c>
      <c r="E17" s="405">
        <f>SUM('- 25 -'!C17,'- 25 -'!F17,'- 25 -'!I17,'- 26 -'!C17)</f>
        <v>2549454</v>
      </c>
      <c r="F17" s="351">
        <f>E17/'- 3 -'!E17</f>
        <v>0.031273324316345684</v>
      </c>
      <c r="G17" s="405">
        <f>E17/'- 7 -'!H17</f>
        <v>203.35925722079972</v>
      </c>
      <c r="H17" s="405">
        <f>SUM('- 29 -'!C17,'- 28 -'!I17,'- 28 -'!F17,'- 28 -'!C17,'- 27 -'!I17,'- 27 -'!F17,'- 27 -'!C17)</f>
        <v>5441551</v>
      </c>
      <c r="I17" s="351">
        <f>H17/'- 3 -'!E17</f>
        <v>0.0667497390448838</v>
      </c>
      <c r="J17" s="405">
        <f>H17/'- 7 -'!H17</f>
        <v>434.04971005128937</v>
      </c>
    </row>
    <row r="18" spans="1:10" ht="12.75">
      <c r="A18" s="13">
        <v>10</v>
      </c>
      <c r="B18" s="14" t="s">
        <v>123</v>
      </c>
      <c r="C18" s="406">
        <f>SUM('- 24 -'!I18,'- 24 -'!G18,'- 24 -'!E18,'- 24 -'!C18)</f>
        <v>151236.87</v>
      </c>
      <c r="D18" s="352">
        <f>C18/'- 3 -'!E18</f>
        <v>0.002523937281940548</v>
      </c>
      <c r="E18" s="406">
        <f>SUM('- 25 -'!C18,'- 25 -'!F18,'- 25 -'!I18,'- 26 -'!C18)</f>
        <v>2120486.4499999997</v>
      </c>
      <c r="F18" s="352">
        <f>E18/'- 3 -'!E18</f>
        <v>0.03538802943359487</v>
      </c>
      <c r="G18" s="406">
        <f>E18/'- 7 -'!H18</f>
        <v>247.53241697309284</v>
      </c>
      <c r="H18" s="406">
        <f>SUM('- 29 -'!C18,'- 28 -'!I18,'- 28 -'!F18,'- 28 -'!C18,'- 27 -'!I18,'- 27 -'!F18,'- 27 -'!C18)</f>
        <v>2964783.85</v>
      </c>
      <c r="I18" s="352">
        <f>H18/'- 3 -'!E18</f>
        <v>0.04947820258320761</v>
      </c>
      <c r="J18" s="406">
        <f>H18/'- 7 -'!H18</f>
        <v>346.0904511760929</v>
      </c>
    </row>
    <row r="19" spans="1:10" ht="12.75">
      <c r="A19" s="11">
        <v>11</v>
      </c>
      <c r="B19" s="12" t="s">
        <v>124</v>
      </c>
      <c r="C19" s="405">
        <f>SUM('- 24 -'!I19,'- 24 -'!G19,'- 24 -'!E19,'- 24 -'!C19)</f>
        <v>350337</v>
      </c>
      <c r="D19" s="351">
        <f>C19/'- 3 -'!E19</f>
        <v>0.010836933379571806</v>
      </c>
      <c r="E19" s="405">
        <f>SUM('- 25 -'!C19,'- 25 -'!F19,'- 25 -'!I19,'- 26 -'!C19)</f>
        <v>789779</v>
      </c>
      <c r="F19" s="351">
        <f>E19/'- 3 -'!E19</f>
        <v>0.024430141285633096</v>
      </c>
      <c r="G19" s="405">
        <f>E19/'- 7 -'!H19</f>
        <v>167.48573852189588</v>
      </c>
      <c r="H19" s="405">
        <f>SUM('- 29 -'!C19,'- 28 -'!I19,'- 28 -'!F19,'- 28 -'!C19,'- 27 -'!I19,'- 27 -'!F19,'- 27 -'!C19)</f>
        <v>1130876</v>
      </c>
      <c r="I19" s="351">
        <f>H19/'- 3 -'!E19</f>
        <v>0.03498125482765636</v>
      </c>
      <c r="J19" s="405">
        <f>H19/'- 7 -'!H19</f>
        <v>239.82101579896087</v>
      </c>
    </row>
    <row r="20" spans="1:10" ht="12.75">
      <c r="A20" s="13">
        <v>12</v>
      </c>
      <c r="B20" s="14" t="s">
        <v>125</v>
      </c>
      <c r="C20" s="406">
        <f>SUM('- 24 -'!I20,'- 24 -'!G20,'- 24 -'!E20,'- 24 -'!C20)</f>
        <v>160545</v>
      </c>
      <c r="D20" s="352">
        <f>C20/'- 3 -'!E20</f>
        <v>0.003099421375704081</v>
      </c>
      <c r="E20" s="406">
        <f>SUM('- 25 -'!C20,'- 25 -'!F20,'- 25 -'!I20,'- 26 -'!C20)</f>
        <v>1585842</v>
      </c>
      <c r="F20" s="352">
        <f>E20/'- 3 -'!E20</f>
        <v>0.030615669085236608</v>
      </c>
      <c r="G20" s="406">
        <f>E20/'- 7 -'!H20</f>
        <v>205.44656043528954</v>
      </c>
      <c r="H20" s="406">
        <f>SUM('- 29 -'!C20,'- 28 -'!I20,'- 28 -'!F20,'- 28 -'!C20,'- 27 -'!I20,'- 27 -'!F20,'- 27 -'!C20)</f>
        <v>2611124</v>
      </c>
      <c r="I20" s="352">
        <f>H20/'- 3 -'!E20</f>
        <v>0.05040937768360237</v>
      </c>
      <c r="J20" s="406">
        <f>H20/'- 7 -'!H20</f>
        <v>338.2723150667185</v>
      </c>
    </row>
    <row r="21" spans="1:10" ht="12.75">
      <c r="A21" s="11">
        <v>13</v>
      </c>
      <c r="B21" s="12" t="s">
        <v>126</v>
      </c>
      <c r="C21" s="405">
        <f>SUM('- 24 -'!I21,'- 24 -'!G21,'- 24 -'!E21,'- 24 -'!C21)</f>
        <v>77837</v>
      </c>
      <c r="D21" s="351">
        <f>C21/'- 3 -'!E21</f>
        <v>0.0039374549817073785</v>
      </c>
      <c r="E21" s="405">
        <f>SUM('- 25 -'!C21,'- 25 -'!F21,'- 25 -'!I21,'- 26 -'!C21)</f>
        <v>679505</v>
      </c>
      <c r="F21" s="351">
        <f>E21/'- 3 -'!E21</f>
        <v>0.03437337445360269</v>
      </c>
      <c r="G21" s="405">
        <f>E21/'- 7 -'!H21</f>
        <v>254.09655223992223</v>
      </c>
      <c r="H21" s="405">
        <f>SUM('- 29 -'!C21,'- 28 -'!I21,'- 28 -'!F21,'- 28 -'!C21,'- 27 -'!I21,'- 27 -'!F21,'- 27 -'!C21)</f>
        <v>702017</v>
      </c>
      <c r="I21" s="351">
        <f>H21/'- 3 -'!E21</f>
        <v>0.03551216431636971</v>
      </c>
      <c r="J21" s="405">
        <f>H21/'- 7 -'!H21</f>
        <v>262.5147707725675</v>
      </c>
    </row>
    <row r="22" spans="1:10" ht="12.75">
      <c r="A22" s="13">
        <v>14</v>
      </c>
      <c r="B22" s="14" t="s">
        <v>127</v>
      </c>
      <c r="C22" s="406">
        <f>SUM('- 24 -'!I22,'- 24 -'!G22,'- 24 -'!E22,'- 24 -'!C22)</f>
        <v>10425</v>
      </c>
      <c r="D22" s="352">
        <f>C22/'- 3 -'!E22</f>
        <v>0.00045335381872756755</v>
      </c>
      <c r="E22" s="406">
        <f>SUM('- 25 -'!C22,'- 25 -'!F22,'- 25 -'!I22,'- 26 -'!C22)</f>
        <v>852597</v>
      </c>
      <c r="F22" s="352">
        <f>E22/'- 3 -'!E22</f>
        <v>0.03707703652620316</v>
      </c>
      <c r="G22" s="406">
        <f>E22/'- 7 -'!H22</f>
        <v>242.5251031147774</v>
      </c>
      <c r="H22" s="406">
        <f>SUM('- 29 -'!C22,'- 28 -'!I22,'- 28 -'!F22,'- 28 -'!C22,'- 27 -'!I22,'- 27 -'!F22,'- 27 -'!C22)</f>
        <v>956137</v>
      </c>
      <c r="I22" s="352">
        <f>H22/'- 3 -'!E22</f>
        <v>0.041579698817910814</v>
      </c>
      <c r="J22" s="406">
        <f>H22/'- 7 -'!H22</f>
        <v>271.97752808988764</v>
      </c>
    </row>
    <row r="23" spans="1:10" ht="12.75">
      <c r="A23" s="11">
        <v>15</v>
      </c>
      <c r="B23" s="12" t="s">
        <v>128</v>
      </c>
      <c r="C23" s="405">
        <f>SUM('- 24 -'!I23,'- 24 -'!G23,'- 24 -'!E23,'- 24 -'!C23)</f>
        <v>139055</v>
      </c>
      <c r="D23" s="351">
        <f>C23/'- 3 -'!E23</f>
        <v>0.004347182762653638</v>
      </c>
      <c r="E23" s="405">
        <f>SUM('- 25 -'!C23,'- 25 -'!F23,'- 25 -'!I23,'- 26 -'!C23)</f>
        <v>925318</v>
      </c>
      <c r="F23" s="351">
        <f>E23/'- 3 -'!E23</f>
        <v>0.028927593107569944</v>
      </c>
      <c r="G23" s="405">
        <f>E23/'- 7 -'!H23</f>
        <v>154.37404070737404</v>
      </c>
      <c r="H23" s="405">
        <f>SUM('- 29 -'!C23,'- 28 -'!I23,'- 28 -'!F23,'- 28 -'!C23,'- 27 -'!I23,'- 27 -'!F23,'- 27 -'!C23)</f>
        <v>1191551</v>
      </c>
      <c r="I23" s="351">
        <f>H23/'- 3 -'!E23</f>
        <v>0.03725065598520517</v>
      </c>
      <c r="J23" s="405">
        <f>H23/'- 7 -'!H23</f>
        <v>198.79062395729062</v>
      </c>
    </row>
    <row r="24" spans="1:10" ht="12.75">
      <c r="A24" s="13">
        <v>16</v>
      </c>
      <c r="B24" s="14" t="s">
        <v>129</v>
      </c>
      <c r="C24" s="406">
        <f>SUM('- 24 -'!I24,'- 24 -'!G24,'- 24 -'!E24,'- 24 -'!C24)</f>
        <v>0</v>
      </c>
      <c r="D24" s="352">
        <f>C24/'- 3 -'!E24</f>
        <v>0</v>
      </c>
      <c r="E24" s="406">
        <f>SUM('- 25 -'!C24,'- 25 -'!F24,'- 25 -'!I24,'- 26 -'!C24)</f>
        <v>268879.1</v>
      </c>
      <c r="F24" s="352">
        <f>E24/'- 3 -'!E24</f>
        <v>0.043508540586170485</v>
      </c>
      <c r="G24" s="406">
        <f>E24/'- 7 -'!H24</f>
        <v>319.78960513796386</v>
      </c>
      <c r="H24" s="406">
        <f>SUM('- 29 -'!C24,'- 28 -'!I24,'- 28 -'!F24,'- 28 -'!C24,'- 27 -'!I24,'- 27 -'!F24,'- 27 -'!C24)</f>
        <v>218542</v>
      </c>
      <c r="I24" s="352">
        <f>H24/'- 3 -'!E24</f>
        <v>0.035363267270616686</v>
      </c>
      <c r="J24" s="406">
        <f>H24/'- 7 -'!H24</f>
        <v>259.9215033301618</v>
      </c>
    </row>
    <row r="25" spans="1:10" ht="12.75">
      <c r="A25" s="11">
        <v>17</v>
      </c>
      <c r="B25" s="12" t="s">
        <v>130</v>
      </c>
      <c r="C25" s="405">
        <f>SUM('- 24 -'!I25,'- 24 -'!G25,'- 24 -'!E25,'- 24 -'!C25)</f>
        <v>10287.1</v>
      </c>
      <c r="D25" s="351">
        <f>C25/'- 3 -'!E25</f>
        <v>0.0024711342876554436</v>
      </c>
      <c r="E25" s="405">
        <f>SUM('- 25 -'!C25,'- 25 -'!F25,'- 25 -'!I25,'- 26 -'!C25)</f>
        <v>186049</v>
      </c>
      <c r="F25" s="351">
        <f>E25/'- 3 -'!E25</f>
        <v>0.04469209622575922</v>
      </c>
      <c r="G25" s="405">
        <f>E25/'- 7 -'!H25</f>
        <v>381.24795081967216</v>
      </c>
      <c r="H25" s="405">
        <f>SUM('- 29 -'!C25,'- 28 -'!I25,'- 28 -'!F25,'- 28 -'!C25,'- 27 -'!I25,'- 27 -'!F25,'- 27 -'!C25)</f>
        <v>184425</v>
      </c>
      <c r="I25" s="351">
        <f>H25/'- 3 -'!E25</f>
        <v>0.04430198413555377</v>
      </c>
      <c r="J25" s="405">
        <f>H25/'- 7 -'!H25</f>
        <v>377.9200819672131</v>
      </c>
    </row>
    <row r="26" spans="1:10" ht="12.75">
      <c r="A26" s="13">
        <v>18</v>
      </c>
      <c r="B26" s="14" t="s">
        <v>131</v>
      </c>
      <c r="C26" s="406">
        <f>SUM('- 24 -'!I26,'- 24 -'!G26,'- 24 -'!E26,'- 24 -'!C26)</f>
        <v>0</v>
      </c>
      <c r="D26" s="352">
        <f>C26/'- 3 -'!E26</f>
        <v>0</v>
      </c>
      <c r="E26" s="406">
        <f>SUM('- 25 -'!C26,'- 25 -'!F26,'- 25 -'!I26,'- 26 -'!C26)</f>
        <v>387527</v>
      </c>
      <c r="F26" s="352">
        <f>E26/'- 3 -'!E26</f>
        <v>0.040351114116754815</v>
      </c>
      <c r="G26" s="406">
        <f>E26/'- 7 -'!H26</f>
        <v>263.53417205032304</v>
      </c>
      <c r="H26" s="406">
        <f>SUM('- 29 -'!C26,'- 28 -'!I26,'- 28 -'!F26,'- 28 -'!C26,'- 27 -'!I26,'- 27 -'!F26,'- 27 -'!C26)</f>
        <v>292174</v>
      </c>
      <c r="I26" s="352">
        <f>H26/'- 3 -'!E26</f>
        <v>0.03042251614971014</v>
      </c>
      <c r="J26" s="406">
        <f>H26/'- 7 -'!H26</f>
        <v>198.69024141448486</v>
      </c>
    </row>
    <row r="27" spans="1:10" ht="12.75">
      <c r="A27" s="11">
        <v>19</v>
      </c>
      <c r="B27" s="12" t="s">
        <v>132</v>
      </c>
      <c r="C27" s="405">
        <f>SUM('- 24 -'!I27,'- 24 -'!G27,'- 24 -'!E27,'- 24 -'!C27)</f>
        <v>4129</v>
      </c>
      <c r="D27" s="351">
        <f>C27/'- 3 -'!E27</f>
        <v>0.0002808950533589237</v>
      </c>
      <c r="E27" s="405">
        <f>SUM('- 25 -'!C27,'- 25 -'!F27,'- 25 -'!I27,'- 26 -'!C27)</f>
        <v>762678.78</v>
      </c>
      <c r="F27" s="351">
        <f>E27/'- 3 -'!E27</f>
        <v>0.05188488655941362</v>
      </c>
      <c r="G27" s="405">
        <f>E27/'- 7 -'!H27</f>
        <v>410.37330104923325</v>
      </c>
      <c r="H27" s="405">
        <f>SUM('- 29 -'!C27,'- 28 -'!I27,'- 28 -'!F27,'- 28 -'!C27,'- 27 -'!I27,'- 27 -'!F27,'- 27 -'!C27)</f>
        <v>420484</v>
      </c>
      <c r="I27" s="351">
        <f>H27/'- 3 -'!E27</f>
        <v>0.028605443355915153</v>
      </c>
      <c r="J27" s="405">
        <f>H27/'- 7 -'!H27</f>
        <v>226.24912563895614</v>
      </c>
    </row>
    <row r="28" spans="1:10" ht="12.75">
      <c r="A28" s="13">
        <v>20</v>
      </c>
      <c r="B28" s="14" t="s">
        <v>133</v>
      </c>
      <c r="C28" s="406">
        <f>SUM('- 24 -'!I28,'- 24 -'!G28,'- 24 -'!E28,'- 24 -'!C28)</f>
        <v>17970</v>
      </c>
      <c r="D28" s="352">
        <f>C28/'- 3 -'!E28</f>
        <v>0.0023772668204856636</v>
      </c>
      <c r="E28" s="406">
        <f>SUM('- 25 -'!C28,'- 25 -'!F28,'- 25 -'!I28,'- 26 -'!C28)</f>
        <v>447977</v>
      </c>
      <c r="F28" s="352">
        <f>E28/'- 3 -'!E28</f>
        <v>0.05926326424266589</v>
      </c>
      <c r="G28" s="406">
        <f>E28/'- 7 -'!H28</f>
        <v>469.331587218439</v>
      </c>
      <c r="H28" s="406">
        <f>SUM('- 29 -'!C28,'- 28 -'!I28,'- 28 -'!F28,'- 28 -'!C28,'- 27 -'!I28,'- 27 -'!F28,'- 27 -'!C28)</f>
        <v>242806</v>
      </c>
      <c r="I28" s="352">
        <f>H28/'- 3 -'!E28</f>
        <v>0.03212101544879477</v>
      </c>
      <c r="J28" s="406">
        <f>H28/'- 7 -'!H28</f>
        <v>254.38030382399162</v>
      </c>
    </row>
    <row r="29" spans="1:10" ht="12.75">
      <c r="A29" s="11">
        <v>21</v>
      </c>
      <c r="B29" s="12" t="s">
        <v>134</v>
      </c>
      <c r="C29" s="405">
        <f>SUM('- 24 -'!I29,'- 24 -'!G29,'- 24 -'!E29,'- 24 -'!C29)</f>
        <v>80419</v>
      </c>
      <c r="D29" s="351">
        <f>C29/'- 3 -'!E29</f>
        <v>0.003605344619998587</v>
      </c>
      <c r="E29" s="405">
        <f>SUM('- 25 -'!C29,'- 25 -'!F29,'- 25 -'!I29,'- 26 -'!C29)</f>
        <v>729650</v>
      </c>
      <c r="F29" s="351">
        <f>E29/'- 3 -'!E29</f>
        <v>0.032711668908864434</v>
      </c>
      <c r="G29" s="405">
        <f>E29/'- 7 -'!H29</f>
        <v>212.63295934722424</v>
      </c>
      <c r="H29" s="405">
        <f>SUM('- 29 -'!C29,'- 28 -'!I29,'- 28 -'!F29,'- 28 -'!C29,'- 27 -'!I29,'- 27 -'!F29,'- 27 -'!C29)</f>
        <v>1036951</v>
      </c>
      <c r="I29" s="351">
        <f>H29/'- 3 -'!E29</f>
        <v>0.04648858738671402</v>
      </c>
      <c r="J29" s="405">
        <f>H29/'- 7 -'!H29</f>
        <v>302.1859245228034</v>
      </c>
    </row>
    <row r="30" spans="1:10" ht="12.75">
      <c r="A30" s="13">
        <v>22</v>
      </c>
      <c r="B30" s="14" t="s">
        <v>135</v>
      </c>
      <c r="C30" s="406">
        <f>SUM('- 24 -'!I30,'- 24 -'!G30,'- 24 -'!E30,'- 24 -'!C30)</f>
        <v>209201</v>
      </c>
      <c r="D30" s="352">
        <f>C30/'- 3 -'!E30</f>
        <v>0.017771524360506392</v>
      </c>
      <c r="E30" s="406">
        <f>SUM('- 25 -'!C30,'- 25 -'!F30,'- 25 -'!I30,'- 26 -'!C30)</f>
        <v>458179</v>
      </c>
      <c r="F30" s="352">
        <f>E30/'- 3 -'!E30</f>
        <v>0.03892208574515637</v>
      </c>
      <c r="G30" s="406">
        <f>E30/'- 7 -'!H30</f>
        <v>259.51798357405835</v>
      </c>
      <c r="H30" s="406">
        <f>SUM('- 29 -'!C30,'- 28 -'!I30,'- 28 -'!F30,'- 28 -'!C30,'- 27 -'!I30,'- 27 -'!F30,'- 27 -'!C30)</f>
        <v>528208</v>
      </c>
      <c r="I30" s="352">
        <f>H30/'- 3 -'!E30</f>
        <v>0.04487101562332092</v>
      </c>
      <c r="J30" s="406">
        <f>H30/'- 7 -'!H30</f>
        <v>299.1832342112716</v>
      </c>
    </row>
    <row r="31" spans="1:10" ht="12.75">
      <c r="A31" s="11">
        <v>23</v>
      </c>
      <c r="B31" s="12" t="s">
        <v>136</v>
      </c>
      <c r="C31" s="405">
        <f>SUM('- 24 -'!I31,'- 24 -'!G31,'- 24 -'!E31,'- 24 -'!C31)</f>
        <v>96315</v>
      </c>
      <c r="D31" s="351">
        <f>C31/'- 3 -'!E31</f>
        <v>0.009522640977402724</v>
      </c>
      <c r="E31" s="405">
        <f>SUM('- 25 -'!C31,'- 25 -'!F31,'- 25 -'!I31,'- 26 -'!C31)</f>
        <v>326785</v>
      </c>
      <c r="F31" s="351">
        <f>E31/'- 3 -'!E31</f>
        <v>0.032309154667502976</v>
      </c>
      <c r="G31" s="405">
        <f>E31/'- 7 -'!H31</f>
        <v>227.24965229485397</v>
      </c>
      <c r="H31" s="405">
        <f>SUM('- 29 -'!C31,'- 28 -'!I31,'- 28 -'!F31,'- 28 -'!C31,'- 27 -'!I31,'- 27 -'!F31,'- 27 -'!C31)</f>
        <v>440515</v>
      </c>
      <c r="I31" s="351">
        <f>H31/'- 3 -'!E31</f>
        <v>0.043553612523081146</v>
      </c>
      <c r="J31" s="405">
        <f>H31/'- 7 -'!H31</f>
        <v>306.33866481223924</v>
      </c>
    </row>
    <row r="32" spans="1:10" ht="12.75">
      <c r="A32" s="13">
        <v>24</v>
      </c>
      <c r="B32" s="14" t="s">
        <v>137</v>
      </c>
      <c r="C32" s="406">
        <f>SUM('- 24 -'!I32,'- 24 -'!G32,'- 24 -'!E32,'- 24 -'!C32)</f>
        <v>4340</v>
      </c>
      <c r="D32" s="352">
        <f>C32/'- 3 -'!E32</f>
        <v>0.0001909273017902954</v>
      </c>
      <c r="E32" s="406">
        <f>SUM('- 25 -'!C32,'- 25 -'!F32,'- 25 -'!I32,'- 26 -'!C32)</f>
        <v>727947</v>
      </c>
      <c r="F32" s="352">
        <f>E32/'- 3 -'!E32</f>
        <v>0.03202418353832723</v>
      </c>
      <c r="G32" s="406">
        <f>E32/'- 7 -'!H32</f>
        <v>203.73551637279596</v>
      </c>
      <c r="H32" s="406">
        <f>SUM('- 29 -'!C32,'- 28 -'!I32,'- 28 -'!F32,'- 28 -'!C32,'- 27 -'!I32,'- 27 -'!F32,'- 27 -'!C32)</f>
        <v>1074540</v>
      </c>
      <c r="I32" s="352">
        <f>H32/'- 3 -'!E32</f>
        <v>0.04727166425477972</v>
      </c>
      <c r="J32" s="406">
        <f>H32/'- 7 -'!H32</f>
        <v>300.7388748950462</v>
      </c>
    </row>
    <row r="33" spans="1:10" ht="12.75">
      <c r="A33" s="11">
        <v>25</v>
      </c>
      <c r="B33" s="12" t="s">
        <v>138</v>
      </c>
      <c r="C33" s="405">
        <f>SUM('- 24 -'!I33,'- 24 -'!G33,'- 24 -'!E33,'- 24 -'!C33)</f>
        <v>5171</v>
      </c>
      <c r="D33" s="351">
        <f>C33/'- 3 -'!E33</f>
        <v>0.0004920897360035158</v>
      </c>
      <c r="E33" s="405">
        <f>SUM('- 25 -'!C33,'- 25 -'!F33,'- 25 -'!I33,'- 26 -'!C33)</f>
        <v>448894</v>
      </c>
      <c r="F33" s="351">
        <f>E33/'- 3 -'!E33</f>
        <v>0.04271826144915146</v>
      </c>
      <c r="G33" s="405">
        <f>E33/'- 7 -'!H33</f>
        <v>307.65129189226235</v>
      </c>
      <c r="H33" s="405">
        <f>SUM('- 29 -'!C33,'- 28 -'!I33,'- 28 -'!F33,'- 28 -'!C33,'- 27 -'!I33,'- 27 -'!F33,'- 27 -'!C33)</f>
        <v>284024</v>
      </c>
      <c r="I33" s="351">
        <f>H33/'- 3 -'!E33</f>
        <v>0.027028678239927006</v>
      </c>
      <c r="J33" s="405">
        <f>H33/'- 7 -'!H33</f>
        <v>194.65698033034064</v>
      </c>
    </row>
    <row r="34" spans="1:10" ht="12.75">
      <c r="A34" s="13">
        <v>26</v>
      </c>
      <c r="B34" s="14" t="s">
        <v>139</v>
      </c>
      <c r="C34" s="406">
        <f>SUM('- 24 -'!I34,'- 24 -'!G34,'- 24 -'!E34,'- 24 -'!C34)</f>
        <v>9275</v>
      </c>
      <c r="D34" s="352">
        <f>C34/'- 3 -'!E34</f>
        <v>0.0005718471538566019</v>
      </c>
      <c r="E34" s="406">
        <f>SUM('- 25 -'!C34,'- 25 -'!F34,'- 25 -'!I34,'- 26 -'!C34)</f>
        <v>508679</v>
      </c>
      <c r="F34" s="352">
        <f>E34/'- 3 -'!E34</f>
        <v>0.031362440795323174</v>
      </c>
      <c r="G34" s="406">
        <f>E34/'- 7 -'!H34</f>
        <v>178.91702718863212</v>
      </c>
      <c r="H34" s="406">
        <f>SUM('- 29 -'!C34,'- 28 -'!I34,'- 28 -'!F34,'- 28 -'!C34,'- 27 -'!I34,'- 27 -'!F34,'- 27 -'!C34)</f>
        <v>620247</v>
      </c>
      <c r="I34" s="352">
        <f>H34/'- 3 -'!E34</f>
        <v>0.038241130095751565</v>
      </c>
      <c r="J34" s="406">
        <f>H34/'- 7 -'!H34</f>
        <v>218.15870001055188</v>
      </c>
    </row>
    <row r="35" spans="1:10" ht="12.75">
      <c r="A35" s="11">
        <v>28</v>
      </c>
      <c r="B35" s="12" t="s">
        <v>140</v>
      </c>
      <c r="C35" s="405">
        <f>SUM('- 24 -'!I35,'- 24 -'!G35,'- 24 -'!E35,'- 24 -'!C35)</f>
        <v>3080</v>
      </c>
      <c r="D35" s="351">
        <f>C35/'- 3 -'!E35</f>
        <v>0.00048354844174159706</v>
      </c>
      <c r="E35" s="405">
        <f>SUM('- 25 -'!C35,'- 25 -'!F35,'- 25 -'!I35,'- 26 -'!C35)</f>
        <v>358999</v>
      </c>
      <c r="F35" s="351">
        <f>E35/'- 3 -'!E35</f>
        <v>0.0563614957911661</v>
      </c>
      <c r="G35" s="405">
        <f>E35/'- 7 -'!H35</f>
        <v>407.3423954976626</v>
      </c>
      <c r="H35" s="405">
        <f>SUM('- 29 -'!C35,'- 28 -'!I35,'- 28 -'!F35,'- 28 -'!C35,'- 27 -'!I35,'- 27 -'!F35,'- 27 -'!C35)</f>
        <v>160561</v>
      </c>
      <c r="I35" s="351">
        <f>H35/'- 3 -'!E35</f>
        <v>0.025207474465737845</v>
      </c>
      <c r="J35" s="405">
        <f>H35/'- 7 -'!H35</f>
        <v>182.18240820587303</v>
      </c>
    </row>
    <row r="36" spans="1:10" ht="12.75">
      <c r="A36" s="13">
        <v>30</v>
      </c>
      <c r="B36" s="14" t="s">
        <v>141</v>
      </c>
      <c r="C36" s="406">
        <f>SUM('- 24 -'!I36,'- 24 -'!G36,'- 24 -'!E36,'- 24 -'!C36)</f>
        <v>5004</v>
      </c>
      <c r="D36" s="352">
        <f>C36/'- 3 -'!E36</f>
        <v>0.0005416201065316094</v>
      </c>
      <c r="E36" s="406">
        <f>SUM('- 25 -'!C36,'- 25 -'!F36,'- 25 -'!I36,'- 26 -'!C36)</f>
        <v>370715</v>
      </c>
      <c r="F36" s="352">
        <f>E36/'- 3 -'!E36</f>
        <v>0.04012523936707946</v>
      </c>
      <c r="G36" s="406">
        <f>E36/'- 7 -'!H36</f>
        <v>284.79296304832144</v>
      </c>
      <c r="H36" s="406">
        <f>SUM('- 29 -'!C36,'- 28 -'!I36,'- 28 -'!F36,'- 28 -'!C36,'- 27 -'!I36,'- 27 -'!F36,'- 27 -'!C36)</f>
        <v>352725</v>
      </c>
      <c r="I36" s="352">
        <f>H36/'- 3 -'!E36</f>
        <v>0.03817804797689087</v>
      </c>
      <c r="J36" s="406">
        <f>H36/'- 7 -'!H36</f>
        <v>270.9725743258815</v>
      </c>
    </row>
    <row r="37" spans="1:10" ht="12.75">
      <c r="A37" s="11">
        <v>31</v>
      </c>
      <c r="B37" s="12" t="s">
        <v>142</v>
      </c>
      <c r="C37" s="405">
        <f>SUM('- 24 -'!I37,'- 24 -'!G37,'- 24 -'!E37,'- 24 -'!C37)</f>
        <v>2931</v>
      </c>
      <c r="D37" s="351">
        <f>C37/'- 3 -'!E37</f>
        <v>0.00027241974538466483</v>
      </c>
      <c r="E37" s="405">
        <f>SUM('- 25 -'!C37,'- 25 -'!F37,'- 25 -'!I37,'- 26 -'!C37)</f>
        <v>444924</v>
      </c>
      <c r="F37" s="351">
        <f>E37/'- 3 -'!E37</f>
        <v>0.041353150049650844</v>
      </c>
      <c r="G37" s="405">
        <f>E37/'- 7 -'!H37</f>
        <v>269.48758328285885</v>
      </c>
      <c r="H37" s="405">
        <f>SUM('- 29 -'!C37,'- 28 -'!I37,'- 28 -'!F37,'- 28 -'!C37,'- 27 -'!I37,'- 27 -'!F37,'- 27 -'!C37)</f>
        <v>400001</v>
      </c>
      <c r="I37" s="351">
        <f>H37/'- 3 -'!E37</f>
        <v>0.0371778132287995</v>
      </c>
      <c r="J37" s="405">
        <f>H37/'- 7 -'!H37</f>
        <v>242.27801332525743</v>
      </c>
    </row>
    <row r="38" spans="1:10" ht="12.75">
      <c r="A38" s="13">
        <v>32</v>
      </c>
      <c r="B38" s="14" t="s">
        <v>143</v>
      </c>
      <c r="C38" s="406">
        <f>SUM('- 24 -'!I38,'- 24 -'!G38,'- 24 -'!E38,'- 24 -'!C38)</f>
        <v>0</v>
      </c>
      <c r="D38" s="352">
        <f>C38/'- 3 -'!E38</f>
        <v>0</v>
      </c>
      <c r="E38" s="406">
        <f>SUM('- 25 -'!C38,'- 25 -'!F38,'- 25 -'!I38,'- 26 -'!C38)</f>
        <v>307116</v>
      </c>
      <c r="F38" s="352">
        <f>E38/'- 3 -'!E38</f>
        <v>0.04841526628771653</v>
      </c>
      <c r="G38" s="406">
        <f>E38/'- 7 -'!H38</f>
        <v>370.4656212303981</v>
      </c>
      <c r="H38" s="406">
        <f>SUM('- 29 -'!C38,'- 28 -'!I38,'- 28 -'!F38,'- 28 -'!C38,'- 27 -'!I38,'- 27 -'!F38,'- 27 -'!C38)</f>
        <v>266038</v>
      </c>
      <c r="I38" s="352">
        <f>H38/'- 3 -'!E38</f>
        <v>0.04193952973030233</v>
      </c>
      <c r="J38" s="406">
        <f>H38/'- 7 -'!H38</f>
        <v>320.91435464414957</v>
      </c>
    </row>
    <row r="39" spans="1:10" ht="12.75">
      <c r="A39" s="11">
        <v>33</v>
      </c>
      <c r="B39" s="12" t="s">
        <v>144</v>
      </c>
      <c r="C39" s="405">
        <f>SUM('- 24 -'!I39,'- 24 -'!G39,'- 24 -'!E39,'- 24 -'!C39)</f>
        <v>1900</v>
      </c>
      <c r="D39" s="351">
        <f>C39/'- 3 -'!E39</f>
        <v>0.0001461423233937324</v>
      </c>
      <c r="E39" s="405">
        <f>SUM('- 25 -'!C39,'- 25 -'!F39,'- 25 -'!I39,'- 26 -'!C39)</f>
        <v>544581</v>
      </c>
      <c r="F39" s="351">
        <f>E39/'- 3 -'!E39</f>
        <v>0.04188754348214852</v>
      </c>
      <c r="G39" s="405">
        <f>E39/'- 7 -'!H39</f>
        <v>286.16973200210197</v>
      </c>
      <c r="H39" s="405">
        <f>SUM('- 29 -'!C39,'- 28 -'!I39,'- 28 -'!F39,'- 28 -'!C39,'- 27 -'!I39,'- 27 -'!F39,'- 27 -'!C39)</f>
        <v>833143</v>
      </c>
      <c r="I39" s="351">
        <f>H39/'- 3 -'!E39</f>
        <v>0.06408287038906547</v>
      </c>
      <c r="J39" s="405">
        <f>H39/'- 7 -'!H39</f>
        <v>437.80504466631635</v>
      </c>
    </row>
    <row r="40" spans="1:10" ht="12.75">
      <c r="A40" s="13">
        <v>34</v>
      </c>
      <c r="B40" s="14" t="s">
        <v>145</v>
      </c>
      <c r="C40" s="406">
        <f>SUM('- 24 -'!I40,'- 24 -'!G40,'- 24 -'!E40,'- 24 -'!C40)</f>
        <v>5102</v>
      </c>
      <c r="D40" s="352">
        <f>C40/'- 3 -'!E40</f>
        <v>0.000881383892947755</v>
      </c>
      <c r="E40" s="406">
        <f>SUM('- 25 -'!C40,'- 25 -'!F40,'- 25 -'!I40,'- 26 -'!C40)</f>
        <v>247995.83</v>
      </c>
      <c r="F40" s="352">
        <f>E40/'- 3 -'!E40</f>
        <v>0.04284193063116614</v>
      </c>
      <c r="G40" s="406">
        <f>E40/'- 7 -'!H40</f>
        <v>338.32991814461116</v>
      </c>
      <c r="H40" s="406">
        <f>SUM('- 29 -'!C40,'- 28 -'!I40,'- 28 -'!F40,'- 28 -'!C40,'- 27 -'!I40,'- 27 -'!F40,'- 27 -'!C40)</f>
        <v>182651.46000000002</v>
      </c>
      <c r="I40" s="352">
        <f>H40/'- 3 -'!E40</f>
        <v>0.03155351918216213</v>
      </c>
      <c r="J40" s="406">
        <f>H40/'- 7 -'!H40</f>
        <v>249.18343792633019</v>
      </c>
    </row>
    <row r="41" spans="1:10" ht="12.75">
      <c r="A41" s="11">
        <v>35</v>
      </c>
      <c r="B41" s="12" t="s">
        <v>146</v>
      </c>
      <c r="C41" s="405">
        <f>SUM('- 24 -'!I41,'- 24 -'!G41,'- 24 -'!E41,'- 24 -'!C41)</f>
        <v>51171</v>
      </c>
      <c r="D41" s="351">
        <f>C41/'- 3 -'!E41</f>
        <v>0.0036763944031921146</v>
      </c>
      <c r="E41" s="405">
        <f>SUM('- 25 -'!C41,'- 25 -'!F41,'- 25 -'!I41,'- 26 -'!C41)</f>
        <v>510020</v>
      </c>
      <c r="F41" s="351">
        <f>E41/'- 3 -'!E41</f>
        <v>0.03664252552258198</v>
      </c>
      <c r="G41" s="405">
        <f>E41/'- 7 -'!H41</f>
        <v>265.1107183698929</v>
      </c>
      <c r="H41" s="405">
        <f>SUM('- 29 -'!C41,'- 28 -'!I41,'- 28 -'!F41,'- 28 -'!C41,'- 27 -'!I41,'- 27 -'!F41,'- 27 -'!C41)</f>
        <v>562914</v>
      </c>
      <c r="I41" s="351">
        <f>H41/'- 3 -'!E41</f>
        <v>0.04044270932908261</v>
      </c>
      <c r="J41" s="405">
        <f>H41/'- 7 -'!H41</f>
        <v>292.60526042208124</v>
      </c>
    </row>
    <row r="42" spans="1:10" ht="12.75">
      <c r="A42" s="13">
        <v>36</v>
      </c>
      <c r="B42" s="14" t="s">
        <v>147</v>
      </c>
      <c r="C42" s="406">
        <f>SUM('- 24 -'!I42,'- 24 -'!G42,'- 24 -'!E42,'- 24 -'!C42)</f>
        <v>22534</v>
      </c>
      <c r="D42" s="352">
        <f>C42/'- 3 -'!E42</f>
        <v>0.002811944857239741</v>
      </c>
      <c r="E42" s="406">
        <f>SUM('- 25 -'!C42,'- 25 -'!F42,'- 25 -'!I42,'- 26 -'!C42)</f>
        <v>354516.53</v>
      </c>
      <c r="F42" s="352">
        <f>E42/'- 3 -'!E42</f>
        <v>0.04423896926155935</v>
      </c>
      <c r="G42" s="406">
        <f>E42/'- 7 -'!H42</f>
        <v>351.5285374318295</v>
      </c>
      <c r="H42" s="406">
        <f>SUM('- 29 -'!C42,'- 28 -'!I42,'- 28 -'!F42,'- 28 -'!C42,'- 27 -'!I42,'- 27 -'!F42,'- 27 -'!C42)</f>
        <v>494824.5</v>
      </c>
      <c r="I42" s="352">
        <f>H42/'- 3 -'!E42</f>
        <v>0.06174754628611104</v>
      </c>
      <c r="J42" s="406">
        <f>H42/'- 7 -'!H42</f>
        <v>490.6539414972732</v>
      </c>
    </row>
    <row r="43" spans="1:10" ht="12.75">
      <c r="A43" s="11">
        <v>37</v>
      </c>
      <c r="B43" s="12" t="s">
        <v>148</v>
      </c>
      <c r="C43" s="405">
        <f>SUM('- 24 -'!I43,'- 24 -'!G43,'- 24 -'!E43,'- 24 -'!C43)</f>
        <v>5471</v>
      </c>
      <c r="D43" s="351">
        <f>C43/'- 3 -'!E43</f>
        <v>0.0007960818003311777</v>
      </c>
      <c r="E43" s="405">
        <f>SUM('- 25 -'!C43,'- 25 -'!F43,'- 25 -'!I43,'- 26 -'!C43)</f>
        <v>266624</v>
      </c>
      <c r="F43" s="351">
        <f>E43/'- 3 -'!E43</f>
        <v>0.03879629207302137</v>
      </c>
      <c r="G43" s="405">
        <f>E43/'- 7 -'!H43</f>
        <v>276.8681204569055</v>
      </c>
      <c r="H43" s="405">
        <f>SUM('- 29 -'!C43,'- 28 -'!I43,'- 28 -'!F43,'- 28 -'!C43,'- 27 -'!I43,'- 27 -'!F43,'- 27 -'!C43)</f>
        <v>221918</v>
      </c>
      <c r="I43" s="351">
        <f>H43/'- 3 -'!E43</f>
        <v>0.03229114987495783</v>
      </c>
      <c r="J43" s="405">
        <f>H43/'- 7 -'!H43</f>
        <v>230.44444444444446</v>
      </c>
    </row>
    <row r="44" spans="1:10" ht="12.75">
      <c r="A44" s="13">
        <v>38</v>
      </c>
      <c r="B44" s="14" t="s">
        <v>149</v>
      </c>
      <c r="C44" s="406">
        <f>SUM('- 24 -'!I44,'- 24 -'!G44,'- 24 -'!E44,'- 24 -'!C44)</f>
        <v>0</v>
      </c>
      <c r="D44" s="352">
        <f>C44/'- 3 -'!E44</f>
        <v>0</v>
      </c>
      <c r="E44" s="406">
        <f>SUM('- 25 -'!C44,'- 25 -'!F44,'- 25 -'!I44,'- 26 -'!C44)</f>
        <v>405451</v>
      </c>
      <c r="F44" s="352">
        <f>E44/'- 3 -'!E44</f>
        <v>0.045384504137596926</v>
      </c>
      <c r="G44" s="406">
        <f>E44/'- 7 -'!H44</f>
        <v>347.13270547945206</v>
      </c>
      <c r="H44" s="406">
        <f>SUM('- 29 -'!C44,'- 28 -'!I44,'- 28 -'!F44,'- 28 -'!C44,'- 27 -'!I44,'- 27 -'!F44,'- 27 -'!C44)</f>
        <v>309721</v>
      </c>
      <c r="I44" s="352">
        <f>H44/'- 3 -'!E44</f>
        <v>0.03466888478755918</v>
      </c>
      <c r="J44" s="406">
        <f>H44/'- 7 -'!H44</f>
        <v>265.1720890410959</v>
      </c>
    </row>
    <row r="45" spans="1:10" ht="12.75">
      <c r="A45" s="11">
        <v>39</v>
      </c>
      <c r="B45" s="12" t="s">
        <v>150</v>
      </c>
      <c r="C45" s="405">
        <f>SUM('- 24 -'!I45,'- 24 -'!G45,'- 24 -'!E45,'- 24 -'!C45)</f>
        <v>6239</v>
      </c>
      <c r="D45" s="351">
        <f>C45/'- 3 -'!E45</f>
        <v>0.0004181043821480754</v>
      </c>
      <c r="E45" s="405">
        <f>SUM('- 25 -'!C45,'- 25 -'!F45,'- 25 -'!I45,'- 26 -'!C45)</f>
        <v>585393</v>
      </c>
      <c r="F45" s="351">
        <f>E45/'- 3 -'!E45</f>
        <v>0.039229905205771486</v>
      </c>
      <c r="G45" s="405">
        <f>E45/'- 7 -'!H45</f>
        <v>276.1287735849057</v>
      </c>
      <c r="H45" s="405">
        <f>SUM('- 29 -'!C45,'- 28 -'!I45,'- 28 -'!F45,'- 28 -'!C45,'- 27 -'!I45,'- 27 -'!F45,'- 27 -'!C45)</f>
        <v>563980</v>
      </c>
      <c r="I45" s="351">
        <f>H45/'- 3 -'!E45</f>
        <v>0.037794920571224806</v>
      </c>
      <c r="J45" s="405">
        <f>H45/'- 7 -'!H45</f>
        <v>266.02830188679246</v>
      </c>
    </row>
    <row r="46" spans="1:10" ht="12.75">
      <c r="A46" s="13">
        <v>40</v>
      </c>
      <c r="B46" s="14" t="s">
        <v>151</v>
      </c>
      <c r="C46" s="406">
        <f>SUM('- 24 -'!I46,'- 24 -'!G46,'- 24 -'!E46,'- 24 -'!C46)</f>
        <v>53402</v>
      </c>
      <c r="D46" s="352">
        <f>C46/'- 3 -'!E46</f>
        <v>0.0011920311993328984</v>
      </c>
      <c r="E46" s="406">
        <f>SUM('- 25 -'!C46,'- 25 -'!F46,'- 25 -'!I46,'- 26 -'!C46)</f>
        <v>1585112</v>
      </c>
      <c r="F46" s="352">
        <f>E46/'- 3 -'!E46</f>
        <v>0.035382625340567186</v>
      </c>
      <c r="G46" s="406">
        <f>E46/'- 7 -'!H46</f>
        <v>214.17538170517497</v>
      </c>
      <c r="H46" s="406">
        <f>SUM('- 29 -'!C46,'- 28 -'!I46,'- 28 -'!F46,'- 28 -'!C46,'- 27 -'!I46,'- 27 -'!F46,'- 27 -'!C46)</f>
        <v>2571287</v>
      </c>
      <c r="I46" s="352">
        <f>H46/'- 3 -'!E46</f>
        <v>0.05739587143625875</v>
      </c>
      <c r="J46" s="406">
        <f>H46/'- 7 -'!H46</f>
        <v>347.42426699094716</v>
      </c>
    </row>
    <row r="47" spans="1:10" ht="12.75">
      <c r="A47" s="11">
        <v>41</v>
      </c>
      <c r="B47" s="12" t="s">
        <v>152</v>
      </c>
      <c r="C47" s="405">
        <f>SUM('- 24 -'!I47,'- 24 -'!G47,'- 24 -'!E47,'- 24 -'!C47)</f>
        <v>44584</v>
      </c>
      <c r="D47" s="351">
        <f>C47/'- 3 -'!E47</f>
        <v>0.003632547870086387</v>
      </c>
      <c r="E47" s="405">
        <f>SUM('- 25 -'!C47,'- 25 -'!F47,'- 25 -'!I47,'- 26 -'!C47)</f>
        <v>565216</v>
      </c>
      <c r="F47" s="351">
        <f>E47/'- 3 -'!E47</f>
        <v>0.04605181627800887</v>
      </c>
      <c r="G47" s="405">
        <f>E47/'- 7 -'!H47</f>
        <v>341.37585311348676</v>
      </c>
      <c r="H47" s="405">
        <f>SUM('- 29 -'!C47,'- 28 -'!I47,'- 28 -'!F47,'- 28 -'!C47,'- 27 -'!I47,'- 27 -'!F47,'- 27 -'!C47)</f>
        <v>402570</v>
      </c>
      <c r="I47" s="351">
        <f>H47/'- 3 -'!E47</f>
        <v>0.032799990939814214</v>
      </c>
      <c r="J47" s="405">
        <f>H47/'- 7 -'!H47</f>
        <v>243.141873527813</v>
      </c>
    </row>
    <row r="48" spans="1:10" ht="12.75">
      <c r="A48" s="13">
        <v>42</v>
      </c>
      <c r="B48" s="14" t="s">
        <v>153</v>
      </c>
      <c r="C48" s="406">
        <f>SUM('- 24 -'!I48,'- 24 -'!G48,'- 24 -'!E48,'- 24 -'!C48)</f>
        <v>5085</v>
      </c>
      <c r="D48" s="352">
        <f>C48/'- 3 -'!E48</f>
        <v>0.0006578942261339651</v>
      </c>
      <c r="E48" s="406">
        <f>SUM('- 25 -'!C48,'- 25 -'!F48,'- 25 -'!I48,'- 26 -'!C48)</f>
        <v>392095</v>
      </c>
      <c r="F48" s="352">
        <f>E48/'- 3 -'!E48</f>
        <v>0.050729014079842094</v>
      </c>
      <c r="G48" s="406">
        <f>E48/'- 7 -'!H48</f>
        <v>370.9508041627247</v>
      </c>
      <c r="H48" s="406">
        <f>SUM('- 29 -'!C48,'- 28 -'!I48,'- 28 -'!F48,'- 28 -'!C48,'- 27 -'!I48,'- 27 -'!F48,'- 27 -'!C48)</f>
        <v>246025</v>
      </c>
      <c r="I48" s="352">
        <f>H48/'- 3 -'!E48</f>
        <v>0.03183056577868412</v>
      </c>
      <c r="J48" s="406">
        <f>H48/'- 7 -'!H48</f>
        <v>232.7578051087985</v>
      </c>
    </row>
    <row r="49" spans="1:10" ht="12.75">
      <c r="A49" s="11">
        <v>43</v>
      </c>
      <c r="B49" s="12" t="s">
        <v>154</v>
      </c>
      <c r="C49" s="405">
        <f>SUM('- 24 -'!I49,'- 24 -'!G49,'- 24 -'!E49,'- 24 -'!C49)</f>
        <v>22272</v>
      </c>
      <c r="D49" s="351">
        <f>C49/'- 3 -'!E49</f>
        <v>0.003502740447750631</v>
      </c>
      <c r="E49" s="405">
        <f>SUM('- 25 -'!C49,'- 25 -'!F49,'- 25 -'!I49,'- 26 -'!C49)</f>
        <v>303418</v>
      </c>
      <c r="F49" s="351">
        <f>E49/'- 3 -'!E49</f>
        <v>0.047718862301347025</v>
      </c>
      <c r="G49" s="405">
        <f>E49/'- 7 -'!H49</f>
        <v>389.7469492614001</v>
      </c>
      <c r="H49" s="405">
        <f>SUM('- 29 -'!C49,'- 28 -'!I49,'- 28 -'!F49,'- 28 -'!C49,'- 27 -'!I49,'- 27 -'!F49,'- 27 -'!C49)</f>
        <v>182208</v>
      </c>
      <c r="I49" s="351">
        <f>H49/'- 3 -'!E49</f>
        <v>0.028656040387201282</v>
      </c>
      <c r="J49" s="405">
        <f>H49/'- 7 -'!H49</f>
        <v>234.05009633911368</v>
      </c>
    </row>
    <row r="50" spans="1:10" ht="12.75">
      <c r="A50" s="13">
        <v>44</v>
      </c>
      <c r="B50" s="14" t="s">
        <v>155</v>
      </c>
      <c r="C50" s="406">
        <f>SUM('- 24 -'!I50,'- 24 -'!G50,'- 24 -'!E50,'- 24 -'!C50)</f>
        <v>5692</v>
      </c>
      <c r="D50" s="352">
        <f>C50/'- 3 -'!E50</f>
        <v>0.0006152812425481464</v>
      </c>
      <c r="E50" s="406">
        <f>SUM('- 25 -'!C50,'- 25 -'!F50,'- 25 -'!I50,'- 26 -'!C50)</f>
        <v>394687</v>
      </c>
      <c r="F50" s="352">
        <f>E50/'- 3 -'!E50</f>
        <v>0.042664003474631104</v>
      </c>
      <c r="G50" s="406">
        <f>E50/'- 7 -'!H50</f>
        <v>317.4000804181745</v>
      </c>
      <c r="H50" s="406">
        <f>SUM('- 29 -'!C50,'- 28 -'!I50,'- 28 -'!F50,'- 28 -'!C50,'- 27 -'!I50,'- 27 -'!F50,'- 27 -'!C50)</f>
        <v>312932</v>
      </c>
      <c r="I50" s="352">
        <f>H50/'- 3 -'!E50</f>
        <v>0.03382663207889609</v>
      </c>
      <c r="J50" s="406">
        <f>H50/'- 7 -'!H50</f>
        <v>251.654201849618</v>
      </c>
    </row>
    <row r="51" spans="1:10" ht="12.75">
      <c r="A51" s="11">
        <v>45</v>
      </c>
      <c r="B51" s="12" t="s">
        <v>156</v>
      </c>
      <c r="C51" s="405">
        <f>SUM('- 24 -'!I51,'- 24 -'!G51,'- 24 -'!E51,'- 24 -'!C51)</f>
        <v>21389</v>
      </c>
      <c r="D51" s="351">
        <f>C51/'- 3 -'!E51</f>
        <v>0.0017736362802612334</v>
      </c>
      <c r="E51" s="405">
        <f>SUM('- 25 -'!C51,'- 25 -'!F51,'- 25 -'!I51,'- 26 -'!C51)</f>
        <v>486899</v>
      </c>
      <c r="F51" s="351">
        <f>E51/'- 3 -'!E51</f>
        <v>0.04037504003099324</v>
      </c>
      <c r="G51" s="405">
        <f>E51/'- 7 -'!H51</f>
        <v>258.4252428215063</v>
      </c>
      <c r="H51" s="405">
        <f>SUM('- 29 -'!C51,'- 28 -'!I51,'- 28 -'!F51,'- 28 -'!C51,'- 27 -'!I51,'- 27 -'!F51,'- 27 -'!C51)</f>
        <v>774591</v>
      </c>
      <c r="I51" s="351">
        <f>H51/'- 3 -'!E51</f>
        <v>0.06423127308260457</v>
      </c>
      <c r="J51" s="405">
        <f>H51/'- 7 -'!H51</f>
        <v>411.119898094581</v>
      </c>
    </row>
    <row r="52" spans="1:10" ht="12.75">
      <c r="A52" s="13">
        <v>46</v>
      </c>
      <c r="B52" s="14" t="s">
        <v>157</v>
      </c>
      <c r="C52" s="406">
        <f>SUM('- 24 -'!I52,'- 24 -'!G52,'- 24 -'!E52,'- 24 -'!C52)</f>
        <v>5000</v>
      </c>
      <c r="D52" s="352">
        <f>C52/'- 3 -'!E52</f>
        <v>0.00045707308699948515</v>
      </c>
      <c r="E52" s="406">
        <f>SUM('- 25 -'!C52,'- 25 -'!F52,'- 25 -'!I52,'- 26 -'!C52)</f>
        <v>613831</v>
      </c>
      <c r="F52" s="352">
        <f>E52/'- 3 -'!E52</f>
        <v>0.05611312601319619</v>
      </c>
      <c r="G52" s="406">
        <f>E52/'- 7 -'!H52</f>
        <v>427.04257687491304</v>
      </c>
      <c r="H52" s="406">
        <f>SUM('- 29 -'!C52,'- 28 -'!I52,'- 28 -'!F52,'- 28 -'!C52,'- 27 -'!I52,'- 27 -'!F52,'- 27 -'!C52)</f>
        <v>645169</v>
      </c>
      <c r="I52" s="352">
        <f>H52/'- 3 -'!E52</f>
        <v>0.05897787729327417</v>
      </c>
      <c r="J52" s="406">
        <f>H52/'- 7 -'!H52</f>
        <v>448.8444413524419</v>
      </c>
    </row>
    <row r="53" spans="1:10" ht="12.75">
      <c r="A53" s="11">
        <v>47</v>
      </c>
      <c r="B53" s="12" t="s">
        <v>158</v>
      </c>
      <c r="C53" s="405">
        <f>SUM('- 24 -'!I53,'- 24 -'!G53,'- 24 -'!E53,'- 24 -'!C53)</f>
        <v>10895</v>
      </c>
      <c r="D53" s="351">
        <f>C53/'- 3 -'!E53</f>
        <v>0.0011830514496533697</v>
      </c>
      <c r="E53" s="405">
        <f>SUM('- 25 -'!C53,'- 25 -'!F53,'- 25 -'!I53,'- 26 -'!C53)</f>
        <v>377129</v>
      </c>
      <c r="F53" s="351">
        <f>E53/'- 3 -'!E53</f>
        <v>0.040951171193788494</v>
      </c>
      <c r="G53" s="405">
        <f>E53/'- 7 -'!H53</f>
        <v>260.7182855167646</v>
      </c>
      <c r="H53" s="405">
        <f>SUM('- 29 -'!C53,'- 28 -'!I53,'- 28 -'!F53,'- 28 -'!C53,'- 27 -'!I53,'- 27 -'!F53,'- 27 -'!C53)</f>
        <v>526398</v>
      </c>
      <c r="I53" s="351">
        <f>H53/'- 3 -'!E53</f>
        <v>0.05715979045384438</v>
      </c>
      <c r="J53" s="405">
        <f>H53/'- 7 -'!H53</f>
        <v>363.91151054268926</v>
      </c>
    </row>
    <row r="54" spans="1:10" ht="12.75">
      <c r="A54" s="13">
        <v>48</v>
      </c>
      <c r="B54" s="14" t="s">
        <v>159</v>
      </c>
      <c r="C54" s="406">
        <f>SUM('- 24 -'!I54,'- 24 -'!G54,'- 24 -'!E54,'- 24 -'!C54)</f>
        <v>664681</v>
      </c>
      <c r="D54" s="352">
        <f>C54/'- 3 -'!E54</f>
        <v>0.011190989896185154</v>
      </c>
      <c r="E54" s="406">
        <f>SUM('- 25 -'!C54,'- 25 -'!F54,'- 25 -'!I54,'- 26 -'!C54)</f>
        <v>3290537</v>
      </c>
      <c r="F54" s="352">
        <f>E54/'- 3 -'!E54</f>
        <v>0.05540156303553646</v>
      </c>
      <c r="G54" s="406">
        <f>E54/'- 7 -'!H54</f>
        <v>629.4425846930773</v>
      </c>
      <c r="H54" s="406">
        <f>SUM('- 29 -'!C54,'- 28 -'!I54,'- 28 -'!F54,'- 28 -'!C54,'- 27 -'!I54,'- 27 -'!F54,'- 27 -'!C54)</f>
        <v>3304753</v>
      </c>
      <c r="I54" s="352">
        <f>H54/'- 3 -'!E54</f>
        <v>0.05564091260678066</v>
      </c>
      <c r="J54" s="406">
        <f>H54/'- 7 -'!H54</f>
        <v>632.1619450236242</v>
      </c>
    </row>
    <row r="55" spans="1:10" ht="12.75">
      <c r="A55" s="11">
        <v>49</v>
      </c>
      <c r="B55" s="12" t="s">
        <v>160</v>
      </c>
      <c r="C55" s="405">
        <f>SUM('- 24 -'!I55,'- 24 -'!G55,'- 24 -'!E55,'- 24 -'!C55)</f>
        <v>157934</v>
      </c>
      <c r="D55" s="351">
        <f>C55/'- 3 -'!E55</f>
        <v>0.004359991754515575</v>
      </c>
      <c r="E55" s="405">
        <f>SUM('- 25 -'!C55,'- 25 -'!F55,'- 25 -'!I55,'- 26 -'!C55)</f>
        <v>1496562</v>
      </c>
      <c r="F55" s="351">
        <f>E55/'- 3 -'!E55</f>
        <v>0.04131471361531613</v>
      </c>
      <c r="G55" s="405">
        <f>E55/'- 7 -'!H55</f>
        <v>351.2396733007886</v>
      </c>
      <c r="H55" s="405">
        <f>SUM('- 29 -'!C55,'- 28 -'!I55,'- 28 -'!F55,'- 28 -'!C55,'- 27 -'!I55,'- 27 -'!F55,'- 27 -'!C55)</f>
        <v>2346189</v>
      </c>
      <c r="I55" s="351">
        <f>H55/'- 3 -'!E55</f>
        <v>0.06476987029097687</v>
      </c>
      <c r="J55" s="405">
        <f>H55/'- 7 -'!H55</f>
        <v>550.6451840030041</v>
      </c>
    </row>
    <row r="56" spans="1:10" ht="12.75">
      <c r="A56" s="13">
        <v>50</v>
      </c>
      <c r="B56" s="14" t="s">
        <v>343</v>
      </c>
      <c r="C56" s="406">
        <f>SUM('- 24 -'!I56,'- 24 -'!G56,'- 24 -'!E56,'- 24 -'!C56)</f>
        <v>5540</v>
      </c>
      <c r="D56" s="352">
        <f>C56/'- 3 -'!E56</f>
        <v>0.0003843422038681476</v>
      </c>
      <c r="E56" s="406">
        <f>SUM('- 25 -'!C56,'- 25 -'!F56,'- 25 -'!I56,'- 26 -'!C56)</f>
        <v>547838</v>
      </c>
      <c r="F56" s="352">
        <f>E56/'- 3 -'!E56</f>
        <v>0.038006726404822784</v>
      </c>
      <c r="G56" s="406">
        <f>E56/'- 7 -'!H56</f>
        <v>310.86534642228906</v>
      </c>
      <c r="H56" s="406">
        <f>SUM('- 29 -'!C56,'- 28 -'!I56,'- 28 -'!F56,'- 28 -'!C56,'- 27 -'!I56,'- 27 -'!F56,'- 27 -'!C56)</f>
        <v>529783</v>
      </c>
      <c r="I56" s="352">
        <f>H56/'- 3 -'!E56</f>
        <v>0.036754145449797625</v>
      </c>
      <c r="J56" s="406">
        <f>H56/'- 7 -'!H56</f>
        <v>300.62021222266355</v>
      </c>
    </row>
    <row r="57" spans="1:10" ht="12.75">
      <c r="A57" s="11">
        <v>2264</v>
      </c>
      <c r="B57" s="12" t="s">
        <v>161</v>
      </c>
      <c r="C57" s="405">
        <f>SUM('- 24 -'!I57,'- 24 -'!G57,'- 24 -'!E57,'- 24 -'!C57)</f>
        <v>0</v>
      </c>
      <c r="D57" s="351">
        <f>C57/'- 3 -'!E57</f>
        <v>0</v>
      </c>
      <c r="E57" s="405">
        <f>SUM('- 25 -'!C57,'- 25 -'!F57,'- 25 -'!I57,'- 26 -'!C57)</f>
        <v>176900</v>
      </c>
      <c r="F57" s="351">
        <f>E57/'- 3 -'!E57</f>
        <v>0.0840284047548411</v>
      </c>
      <c r="G57" s="405">
        <f>E57/'- 7 -'!H57</f>
        <v>900.2544529262086</v>
      </c>
      <c r="H57" s="405">
        <f>SUM('- 29 -'!C57,'- 28 -'!I57,'- 28 -'!F57,'- 28 -'!C57,'- 27 -'!I57,'- 27 -'!F57,'- 27 -'!C57)</f>
        <v>71846</v>
      </c>
      <c r="I57" s="351">
        <f>H57/'- 3 -'!E57</f>
        <v>0.03412721745628215</v>
      </c>
      <c r="J57" s="405">
        <f>H57/'- 7 -'!H57</f>
        <v>365.62849872773535</v>
      </c>
    </row>
    <row r="58" spans="1:10" ht="12.75">
      <c r="A58" s="13">
        <v>2309</v>
      </c>
      <c r="B58" s="14" t="s">
        <v>162</v>
      </c>
      <c r="C58" s="406">
        <f>SUM('- 24 -'!I58,'- 24 -'!G58,'- 24 -'!E58,'- 24 -'!C58)</f>
        <v>0</v>
      </c>
      <c r="D58" s="352">
        <f>C58/'- 3 -'!E58</f>
        <v>0</v>
      </c>
      <c r="E58" s="406">
        <f>SUM('- 25 -'!C58,'- 25 -'!F58,'- 25 -'!I58,'- 26 -'!C58)</f>
        <v>245886</v>
      </c>
      <c r="F58" s="352">
        <f>E58/'- 3 -'!E58</f>
        <v>0.10855060141075255</v>
      </c>
      <c r="G58" s="406">
        <f>E58/'- 7 -'!H58</f>
        <v>943.1760644418873</v>
      </c>
      <c r="H58" s="406">
        <f>SUM('- 29 -'!C58,'- 28 -'!I58,'- 28 -'!F58,'- 28 -'!C58,'- 27 -'!I58,'- 27 -'!F58,'- 27 -'!C58)</f>
        <v>59985</v>
      </c>
      <c r="I58" s="352">
        <f>H58/'- 3 -'!E58</f>
        <v>0.026481409375173827</v>
      </c>
      <c r="J58" s="406">
        <f>H58/'- 7 -'!H58</f>
        <v>230.0920598388953</v>
      </c>
    </row>
    <row r="59" spans="1:10" ht="12.75">
      <c r="A59" s="11">
        <v>2312</v>
      </c>
      <c r="B59" s="12" t="s">
        <v>163</v>
      </c>
      <c r="C59" s="405">
        <f>SUM('- 24 -'!I59,'- 24 -'!G59,'- 24 -'!E59,'- 24 -'!C59)</f>
        <v>6500</v>
      </c>
      <c r="D59" s="351">
        <f>C59/'- 3 -'!E59</f>
        <v>0.0032267784886067415</v>
      </c>
      <c r="E59" s="405">
        <f>SUM('- 25 -'!C59,'- 25 -'!F59,'- 25 -'!I59,'- 26 -'!C59)</f>
        <v>220189</v>
      </c>
      <c r="F59" s="351">
        <f>E59/'- 3 -'!E59</f>
        <v>0.10930786594274305</v>
      </c>
      <c r="G59" s="405">
        <f>E59/'- 7 -'!H59</f>
        <v>1265.4540229885058</v>
      </c>
      <c r="H59" s="405">
        <f>SUM('- 29 -'!C59,'- 28 -'!I59,'- 28 -'!F59,'- 28 -'!C59,'- 27 -'!I59,'- 27 -'!F59,'- 27 -'!C59)</f>
        <v>35386</v>
      </c>
      <c r="I59" s="351">
        <f>H59/'- 3 -'!E59</f>
        <v>0.017566582091975102</v>
      </c>
      <c r="J59" s="405">
        <f>H59/'- 7 -'!H59</f>
        <v>203.367816091954</v>
      </c>
    </row>
    <row r="60" spans="1:10" ht="12.75">
      <c r="A60" s="13">
        <v>2355</v>
      </c>
      <c r="B60" s="14" t="s">
        <v>164</v>
      </c>
      <c r="C60" s="406">
        <f>SUM('- 24 -'!I60,'- 24 -'!G60,'- 24 -'!E60,'- 24 -'!C60)</f>
        <v>8522</v>
      </c>
      <c r="D60" s="352">
        <f>C60/'- 3 -'!E60</f>
        <v>0.0003425915210504864</v>
      </c>
      <c r="E60" s="406">
        <f>SUM('- 25 -'!C60,'- 25 -'!F60,'- 25 -'!I60,'- 26 -'!C60)</f>
        <v>882814</v>
      </c>
      <c r="F60" s="352">
        <f>E60/'- 3 -'!E60</f>
        <v>0.03548986048634876</v>
      </c>
      <c r="G60" s="406">
        <f>E60/'- 7 -'!H60</f>
        <v>265.80375154307046</v>
      </c>
      <c r="H60" s="406">
        <f>SUM('- 29 -'!C60,'- 28 -'!I60,'- 28 -'!F60,'- 28 -'!C60,'- 27 -'!I60,'- 27 -'!F60,'- 27 -'!C60)</f>
        <v>1560104</v>
      </c>
      <c r="I60" s="352">
        <f>H60/'- 3 -'!E60</f>
        <v>0.06271748443522038</v>
      </c>
      <c r="J60" s="406">
        <f>H60/'- 7 -'!H60</f>
        <v>469.726914160118</v>
      </c>
    </row>
    <row r="61" spans="1:10" ht="12.75">
      <c r="A61" s="11">
        <v>2439</v>
      </c>
      <c r="B61" s="12" t="s">
        <v>165</v>
      </c>
      <c r="C61" s="405">
        <f>SUM('- 24 -'!I61,'- 24 -'!G61,'- 24 -'!E61,'- 24 -'!C61)</f>
        <v>0</v>
      </c>
      <c r="D61" s="351">
        <f>C61/'- 3 -'!E61</f>
        <v>0</v>
      </c>
      <c r="E61" s="405">
        <f>SUM('- 25 -'!C61,'- 25 -'!F61,'- 25 -'!I61,'- 26 -'!C61)</f>
        <v>78662.67</v>
      </c>
      <c r="F61" s="351">
        <f>E61/'- 3 -'!E61</f>
        <v>0.056300937118260695</v>
      </c>
      <c r="G61" s="405">
        <f>E61/'- 7 -'!H61</f>
        <v>502.63686900958464</v>
      </c>
      <c r="H61" s="405">
        <f>SUM('- 29 -'!C61,'- 28 -'!I61,'- 28 -'!F61,'- 28 -'!C61,'- 27 -'!I61,'- 27 -'!F61,'- 27 -'!C61)</f>
        <v>35614.18</v>
      </c>
      <c r="I61" s="351">
        <f>H61/'- 3 -'!E61</f>
        <v>0.02549000318319246</v>
      </c>
      <c r="J61" s="405">
        <f>H61/'- 7 -'!H61</f>
        <v>227.56664536741215</v>
      </c>
    </row>
    <row r="62" spans="1:10" ht="12.75">
      <c r="A62" s="13">
        <v>2460</v>
      </c>
      <c r="B62" s="14" t="s">
        <v>166</v>
      </c>
      <c r="C62" s="406">
        <f>SUM('- 24 -'!I62,'- 24 -'!G62,'- 24 -'!E62,'- 24 -'!C62)</f>
        <v>5134</v>
      </c>
      <c r="D62" s="352">
        <f>C62/'- 3 -'!E62</f>
        <v>0.0015536314546517555</v>
      </c>
      <c r="E62" s="406">
        <f>SUM('- 25 -'!C62,'- 25 -'!F62,'- 25 -'!I62,'- 26 -'!C62)</f>
        <v>400349</v>
      </c>
      <c r="F62" s="352">
        <f>E62/'- 3 -'!E62</f>
        <v>0.12115208399656713</v>
      </c>
      <c r="G62" s="406">
        <f>E62/'- 7 -'!H62</f>
        <v>1470.7898603967672</v>
      </c>
      <c r="H62" s="406">
        <f>SUM('- 29 -'!C62,'- 28 -'!I62,'- 28 -'!F62,'- 28 -'!C62,'- 27 -'!I62,'- 27 -'!F62,'- 27 -'!C62)</f>
        <v>89530</v>
      </c>
      <c r="I62" s="352">
        <f>H62/'- 3 -'!E62</f>
        <v>0.02709322636053207</v>
      </c>
      <c r="J62" s="406">
        <f>H62/'- 7 -'!H62</f>
        <v>328.91256429096256</v>
      </c>
    </row>
    <row r="63" spans="1:10" ht="12.75">
      <c r="A63" s="11">
        <v>3000</v>
      </c>
      <c r="B63" s="12" t="s">
        <v>366</v>
      </c>
      <c r="C63" s="405">
        <f>SUM('- 24 -'!I63,'- 24 -'!G63,'- 24 -'!E63,'- 24 -'!C63)</f>
        <v>276808</v>
      </c>
      <c r="D63" s="351">
        <f>C63/'- 3 -'!E63</f>
        <v>0.04799952834196595</v>
      </c>
      <c r="E63" s="405">
        <f>SUM('- 25 -'!C63,'- 25 -'!F63,'- 25 -'!I63,'- 26 -'!C63)</f>
        <v>827911</v>
      </c>
      <c r="F63" s="351">
        <f>E63/'- 3 -'!E63</f>
        <v>0.14356282155546576</v>
      </c>
      <c r="G63" s="405">
        <f>E63/'- 7 -'!H63</f>
        <v>1233.1114089961275</v>
      </c>
      <c r="H63" s="405">
        <f>SUM('- 29 -'!C63,'- 28 -'!I63,'- 28 -'!F63,'- 28 -'!C63,'- 27 -'!I63,'- 27 -'!F63,'- 27 -'!C63)</f>
        <v>656083</v>
      </c>
      <c r="I63" s="351">
        <f>H63/'- 3 -'!E63</f>
        <v>0.11376721248367838</v>
      </c>
      <c r="J63" s="405">
        <f>H63/'- 7 -'!H63</f>
        <v>977.1864760202562</v>
      </c>
    </row>
    <row r="64" spans="1:10" ht="4.5" customHeight="1">
      <c r="A64" s="15"/>
      <c r="B64" s="15"/>
      <c r="C64" s="412"/>
      <c r="D64" s="194"/>
      <c r="E64" s="412"/>
      <c r="F64" s="194"/>
      <c r="G64" s="412"/>
      <c r="H64" s="412"/>
      <c r="I64" s="194"/>
      <c r="J64" s="412"/>
    </row>
    <row r="65" spans="1:10" ht="12.75">
      <c r="A65" s="17"/>
      <c r="B65" s="18" t="s">
        <v>167</v>
      </c>
      <c r="C65" s="407">
        <f>SUM(C11:C63)</f>
        <v>8800696.969999999</v>
      </c>
      <c r="D65" s="100">
        <f>C65/'- 3 -'!E65</f>
        <v>0.006782487792422603</v>
      </c>
      <c r="E65" s="407">
        <f>SUM(E11:E63)</f>
        <v>47893158.36</v>
      </c>
      <c r="F65" s="100">
        <f>E65/'- 3 -'!E65</f>
        <v>0.03691011780368828</v>
      </c>
      <c r="G65" s="407">
        <f>E65/'- 7 -'!H65</f>
        <v>264.26510293547767</v>
      </c>
      <c r="H65" s="407">
        <f>SUM(H11:H63)</f>
        <v>66884968.99</v>
      </c>
      <c r="I65" s="100">
        <f>H65/'- 3 -'!E65</f>
        <v>0.05154665445448685</v>
      </c>
      <c r="J65" s="407">
        <f>H65/'- 7 -'!H65</f>
        <v>369.05820831688794</v>
      </c>
    </row>
    <row r="66" spans="1:10" ht="4.5" customHeight="1">
      <c r="A66" s="15"/>
      <c r="B66" s="15"/>
      <c r="C66" s="412"/>
      <c r="D66" s="194"/>
      <c r="E66" s="412"/>
      <c r="F66" s="194"/>
      <c r="G66" s="412"/>
      <c r="H66" s="412"/>
      <c r="I66" s="194"/>
      <c r="J66" s="412"/>
    </row>
    <row r="67" spans="1:10" ht="12.75">
      <c r="A67" s="13">
        <v>2155</v>
      </c>
      <c r="B67" s="14" t="s">
        <v>168</v>
      </c>
      <c r="C67" s="406">
        <f>SUM('- 24 -'!I67,'- 24 -'!G67,'- 24 -'!E67,'- 24 -'!C67)</f>
        <v>6194.79</v>
      </c>
      <c r="D67" s="352">
        <f>C67/'- 3 -'!E67</f>
        <v>0.0051770040931141195</v>
      </c>
      <c r="E67" s="406">
        <f>SUM('- 25 -'!C67,'- 25 -'!F67,'- 25 -'!I67,'- 26 -'!C67)</f>
        <v>47816.81</v>
      </c>
      <c r="F67" s="352">
        <f>E67/'- 3 -'!E67</f>
        <v>0.039960647752330616</v>
      </c>
      <c r="G67" s="406">
        <f>E67/'- 7 -'!H67</f>
        <v>327.51239726027393</v>
      </c>
      <c r="H67" s="406">
        <f>SUM('- 29 -'!C67,'- 28 -'!I67,'- 28 -'!F67,'- 28 -'!C67,'- 27 -'!I67,'- 27 -'!F67,'- 27 -'!C67)</f>
        <v>34871.86</v>
      </c>
      <c r="I67" s="352">
        <f>H67/'- 3 -'!E67</f>
        <v>0.02914251523530298</v>
      </c>
      <c r="J67" s="406">
        <f>H67/'- 7 -'!H67</f>
        <v>238.84835616438357</v>
      </c>
    </row>
    <row r="68" spans="1:10" ht="12.75">
      <c r="A68" s="11">
        <v>2408</v>
      </c>
      <c r="B68" s="12" t="s">
        <v>170</v>
      </c>
      <c r="C68" s="405">
        <f>SUM('- 24 -'!I68,'- 24 -'!G68,'- 24 -'!E68,'- 24 -'!C68)</f>
        <v>3692</v>
      </c>
      <c r="D68" s="351">
        <f>C68/'- 3 -'!E68</f>
        <v>0.0017220759691108454</v>
      </c>
      <c r="E68" s="405">
        <f>SUM('- 25 -'!C68,'- 25 -'!F68,'- 25 -'!I68,'- 26 -'!C68)</f>
        <v>167957</v>
      </c>
      <c r="F68" s="351">
        <f>E68/'- 3 -'!E68</f>
        <v>0.07834092999565283</v>
      </c>
      <c r="G68" s="405">
        <f>E68/'- 7 -'!H68</f>
        <v>650.9961240310078</v>
      </c>
      <c r="H68" s="405">
        <f>SUM('- 29 -'!C68,'- 28 -'!I68,'- 28 -'!F68,'- 28 -'!C68,'- 27 -'!I68,'- 27 -'!F68,'- 27 -'!C68)</f>
        <v>97477</v>
      </c>
      <c r="I68" s="351">
        <f>H68/'- 3 -'!E68</f>
        <v>0.04546663034697125</v>
      </c>
      <c r="J68" s="405">
        <f>H68/'- 7 -'!H68</f>
        <v>377.8178294573643</v>
      </c>
    </row>
    <row r="69" ht="6.75" customHeight="1"/>
    <row r="70" spans="1:10" ht="12" customHeight="1">
      <c r="A70" s="4"/>
      <c r="B70" s="4"/>
      <c r="C70" s="15"/>
      <c r="D70" s="15"/>
      <c r="E70" s="15"/>
      <c r="F70" s="75"/>
      <c r="G70" s="15"/>
      <c r="H70" s="15"/>
      <c r="I70" s="15"/>
      <c r="J70" s="15"/>
    </row>
    <row r="71" spans="1:9" ht="12" customHeight="1">
      <c r="A71" s="4"/>
      <c r="B71" s="4"/>
      <c r="C71" s="148"/>
      <c r="D71" s="148"/>
      <c r="E71" s="148"/>
      <c r="F71" s="148"/>
      <c r="G71" s="148"/>
      <c r="H71" s="148"/>
      <c r="I71" s="148"/>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row r="75" spans="3:10" ht="12" customHeight="1">
      <c r="C75" s="15"/>
      <c r="D75" s="15"/>
      <c r="E75" s="15"/>
      <c r="F75" s="15"/>
      <c r="G75" s="15"/>
      <c r="H75" s="15"/>
      <c r="I75" s="15"/>
      <c r="J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19"/>
      <c r="C1" s="54"/>
      <c r="D1" s="54"/>
      <c r="E1" s="54"/>
      <c r="F1" s="54"/>
      <c r="G1" s="54"/>
      <c r="H1" s="54"/>
      <c r="I1" s="54"/>
      <c r="J1" s="54"/>
      <c r="K1" s="54"/>
    </row>
    <row r="2" spans="1:11" ht="12.75">
      <c r="A2" s="6"/>
      <c r="B2" s="21"/>
      <c r="C2" s="55" t="s">
        <v>1</v>
      </c>
      <c r="D2" s="55"/>
      <c r="E2" s="55"/>
      <c r="F2" s="55"/>
      <c r="G2" s="55"/>
      <c r="H2" s="55"/>
      <c r="I2" s="56"/>
      <c r="J2" s="56"/>
      <c r="K2" s="57" t="s">
        <v>5</v>
      </c>
    </row>
    <row r="3" spans="1:11" ht="12.75">
      <c r="A3" s="7"/>
      <c r="B3" s="25"/>
      <c r="C3" s="58" t="str">
        <f>YEAR</f>
        <v>OPERATING FUND ACTUAL 2001/2002</v>
      </c>
      <c r="D3" s="58"/>
      <c r="E3" s="58"/>
      <c r="F3" s="58"/>
      <c r="G3" s="58"/>
      <c r="H3" s="58"/>
      <c r="I3" s="59"/>
      <c r="J3" s="59"/>
      <c r="K3" s="60"/>
    </row>
    <row r="4" spans="1:11" ht="12.75">
      <c r="A4" s="8"/>
      <c r="B4" s="15"/>
      <c r="C4" s="54"/>
      <c r="D4" s="54"/>
      <c r="E4" s="54"/>
      <c r="F4" s="54"/>
      <c r="G4" s="54"/>
      <c r="H4" s="54"/>
      <c r="I4" s="54"/>
      <c r="J4" s="54"/>
      <c r="K4" s="54"/>
    </row>
    <row r="5" spans="1:11" ht="12.75">
      <c r="A5" s="8"/>
      <c r="B5" s="15"/>
      <c r="C5" s="54"/>
      <c r="D5" s="54"/>
      <c r="E5" s="54"/>
      <c r="F5" s="54"/>
      <c r="G5" s="54"/>
      <c r="H5" s="54"/>
      <c r="I5" s="54"/>
      <c r="J5" s="54"/>
      <c r="K5" s="54"/>
    </row>
    <row r="6" spans="1:11" ht="12.75">
      <c r="A6" s="8"/>
      <c r="B6" s="15"/>
      <c r="C6" s="64" t="s">
        <v>31</v>
      </c>
      <c r="D6" s="62"/>
      <c r="E6" s="63"/>
      <c r="F6" s="64" t="s">
        <v>32</v>
      </c>
      <c r="G6" s="62"/>
      <c r="H6" s="63"/>
      <c r="I6" s="64" t="s">
        <v>3</v>
      </c>
      <c r="J6" s="62"/>
      <c r="K6" s="63"/>
    </row>
    <row r="7" spans="1:11" ht="12.75">
      <c r="A7" s="15"/>
      <c r="B7" s="15"/>
      <c r="C7" s="65" t="s">
        <v>67</v>
      </c>
      <c r="D7" s="66"/>
      <c r="E7" s="67"/>
      <c r="F7" s="65" t="s">
        <v>68</v>
      </c>
      <c r="G7" s="66"/>
      <c r="H7" s="67"/>
      <c r="I7" s="65" t="s">
        <v>69</v>
      </c>
      <c r="J7" s="66"/>
      <c r="K7" s="67"/>
    </row>
    <row r="8" spans="1:11" ht="12.75">
      <c r="A8" s="42"/>
      <c r="B8" s="43"/>
      <c r="C8" s="70" t="s">
        <v>3</v>
      </c>
      <c r="D8" s="69"/>
      <c r="E8" s="70" t="s">
        <v>76</v>
      </c>
      <c r="F8" s="71"/>
      <c r="G8" s="70"/>
      <c r="H8" s="70" t="s">
        <v>76</v>
      </c>
      <c r="I8" s="71"/>
      <c r="J8" s="70"/>
      <c r="K8" s="70"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11" ht="4.5" customHeight="1">
      <c r="A10" s="74"/>
      <c r="B10" s="74"/>
      <c r="C10" s="15"/>
      <c r="D10" s="15"/>
      <c r="E10" s="15"/>
      <c r="F10" s="15"/>
      <c r="G10" s="15"/>
      <c r="H10" s="15"/>
      <c r="I10" s="15"/>
      <c r="J10" s="15"/>
      <c r="K10" s="15"/>
    </row>
    <row r="11" spans="1:11" ht="12.75">
      <c r="A11" s="11">
        <v>1</v>
      </c>
      <c r="B11" s="12" t="s">
        <v>116</v>
      </c>
      <c r="C11" s="405">
        <f>SUM('- 31 -'!E11,'- 31 -'!C11,'- 30 -'!G11,'- 30 -'!E11,'- 30 -'!C11)</f>
        <v>2855225</v>
      </c>
      <c r="D11" s="351">
        <f>C11/'- 3 -'!E11</f>
        <v>0.011845755699964447</v>
      </c>
      <c r="E11" s="405">
        <f>C11/'- 7 -'!H11</f>
        <v>92.72228049608194</v>
      </c>
      <c r="F11" s="405">
        <f>SUM('- 33 -'!E11,'- 33 -'!C11,'- 32 -'!G11,'- 32 -'!E11,'- 32 -'!C11)</f>
        <v>32835933</v>
      </c>
      <c r="G11" s="351">
        <f>F11/'- 3 -'!E11</f>
        <v>0.13622969835946402</v>
      </c>
      <c r="H11" s="405">
        <f>F11/'- 7 -'!H11</f>
        <v>1066.3336829764917</v>
      </c>
      <c r="I11" s="405">
        <f>SUM('- 34 -'!C11,'- 34 -'!E11)</f>
        <v>4588899</v>
      </c>
      <c r="J11" s="351">
        <f>I11/'- 3 -'!E11</f>
        <v>0.019038421310338467</v>
      </c>
      <c r="K11" s="405">
        <f>I11/'- 7 -'!H11</f>
        <v>149.02264453631147</v>
      </c>
    </row>
    <row r="12" spans="1:11" ht="12.75">
      <c r="A12" s="13">
        <v>2</v>
      </c>
      <c r="B12" s="14" t="s">
        <v>117</v>
      </c>
      <c r="C12" s="406">
        <f>SUM('- 31 -'!E12,'- 31 -'!C12,'- 30 -'!G12,'- 30 -'!E12,'- 30 -'!C12)</f>
        <v>953552</v>
      </c>
      <c r="D12" s="352">
        <f>C12/'- 3 -'!E12</f>
        <v>0.015868311413847522</v>
      </c>
      <c r="E12" s="406">
        <f>C12/'- 7 -'!H12</f>
        <v>104.30601178971042</v>
      </c>
      <c r="F12" s="406">
        <f>SUM('- 33 -'!E12,'- 33 -'!C12,'- 32 -'!G12,'- 32 -'!E12,'- 32 -'!C12)</f>
        <v>6832415</v>
      </c>
      <c r="G12" s="352">
        <f>F12/'- 3 -'!E12</f>
        <v>0.11370002782086663</v>
      </c>
      <c r="H12" s="406">
        <f>F12/'- 7 -'!H12</f>
        <v>747.3760838865572</v>
      </c>
      <c r="I12" s="406">
        <f>SUM('- 34 -'!C12,'- 34 -'!E12)</f>
        <v>1116841</v>
      </c>
      <c r="J12" s="352">
        <f>I12/'- 3 -'!E12</f>
        <v>0.018585646915692988</v>
      </c>
      <c r="K12" s="406">
        <f>I12/'- 7 -'!H12</f>
        <v>122.16767466612413</v>
      </c>
    </row>
    <row r="13" spans="1:11" ht="12.75">
      <c r="A13" s="11">
        <v>3</v>
      </c>
      <c r="B13" s="12" t="s">
        <v>118</v>
      </c>
      <c r="C13" s="405">
        <f>SUM('- 31 -'!E13,'- 31 -'!C13,'- 30 -'!G13,'- 30 -'!E13,'- 30 -'!C13)</f>
        <v>589539</v>
      </c>
      <c r="D13" s="351">
        <f>C13/'- 3 -'!E13</f>
        <v>0.014043196348772284</v>
      </c>
      <c r="E13" s="405">
        <f>C13/'- 7 -'!H13</f>
        <v>100.71564021525583</v>
      </c>
      <c r="F13" s="405">
        <f>SUM('- 33 -'!E13,'- 33 -'!C13,'- 32 -'!G13,'- 32 -'!E13,'- 32 -'!C13)</f>
        <v>4893775</v>
      </c>
      <c r="G13" s="351">
        <f>F13/'- 3 -'!E13</f>
        <v>0.11657285304570704</v>
      </c>
      <c r="H13" s="405">
        <f>F13/'- 7 -'!H13</f>
        <v>836.0425386520885</v>
      </c>
      <c r="I13" s="405">
        <f>SUM('- 34 -'!C13,'- 34 -'!E13)</f>
        <v>757107</v>
      </c>
      <c r="J13" s="351">
        <f>I13/'- 3 -'!E13</f>
        <v>0.01803477337043001</v>
      </c>
      <c r="K13" s="405">
        <f>I13/'- 7 -'!H13</f>
        <v>129.3426155291706</v>
      </c>
    </row>
    <row r="14" spans="1:11" ht="12.75">
      <c r="A14" s="13">
        <v>4</v>
      </c>
      <c r="B14" s="14" t="s">
        <v>119</v>
      </c>
      <c r="C14" s="406">
        <f>SUM('- 31 -'!E14,'- 31 -'!C14,'- 30 -'!G14,'- 30 -'!E14,'- 30 -'!C14)</f>
        <v>595517</v>
      </c>
      <c r="D14" s="352">
        <f>C14/'- 3 -'!E14</f>
        <v>0.014327144941160356</v>
      </c>
      <c r="E14" s="406">
        <f>C14/'- 7 -'!H14</f>
        <v>100.73361751074123</v>
      </c>
      <c r="F14" s="406">
        <f>SUM('- 33 -'!E14,'- 33 -'!C14,'- 32 -'!G14,'- 32 -'!E14,'- 32 -'!C14)</f>
        <v>5047801.67</v>
      </c>
      <c r="G14" s="352">
        <f>F14/'- 3 -'!E14</f>
        <v>0.12144168203480556</v>
      </c>
      <c r="H14" s="406">
        <f>F14/'- 7 -'!H14</f>
        <v>853.8519012821814</v>
      </c>
      <c r="I14" s="406">
        <f>SUM('- 34 -'!C14,'- 34 -'!E14)</f>
        <v>760229</v>
      </c>
      <c r="J14" s="352">
        <f>I14/'- 3 -'!E14</f>
        <v>0.018289840712311146</v>
      </c>
      <c r="K14" s="406">
        <f>I14/'- 7 -'!H14</f>
        <v>128.5951825163233</v>
      </c>
    </row>
    <row r="15" spans="1:11" ht="12.75">
      <c r="A15" s="11">
        <v>5</v>
      </c>
      <c r="B15" s="12" t="s">
        <v>120</v>
      </c>
      <c r="C15" s="405">
        <f>SUM('- 31 -'!E15,'- 31 -'!C15,'- 30 -'!G15,'- 30 -'!E15,'- 30 -'!C15)</f>
        <v>675938</v>
      </c>
      <c r="D15" s="351">
        <f>C15/'- 3 -'!E15</f>
        <v>0.01344944800073923</v>
      </c>
      <c r="E15" s="405">
        <f>C15/'- 7 -'!H15</f>
        <v>93.70198372541137</v>
      </c>
      <c r="F15" s="405">
        <f>SUM('- 33 -'!E15,'- 33 -'!C15,'- 32 -'!G15,'- 32 -'!E15,'- 32 -'!C15)</f>
        <v>4875177</v>
      </c>
      <c r="G15" s="351">
        <f>F15/'- 3 -'!E15</f>
        <v>0.0970036298534775</v>
      </c>
      <c r="H15" s="405">
        <f>F15/'- 7 -'!H15</f>
        <v>675.8219776259062</v>
      </c>
      <c r="I15" s="405">
        <f>SUM('- 34 -'!C15,'- 34 -'!E15)</f>
        <v>980734</v>
      </c>
      <c r="J15" s="351">
        <f>I15/'- 3 -'!E15</f>
        <v>0.019514113625150514</v>
      </c>
      <c r="K15" s="405">
        <f>I15/'- 7 -'!H15</f>
        <v>135.95436461178033</v>
      </c>
    </row>
    <row r="16" spans="1:11" ht="12.75">
      <c r="A16" s="13">
        <v>6</v>
      </c>
      <c r="B16" s="14" t="s">
        <v>121</v>
      </c>
      <c r="C16" s="406">
        <f>SUM('- 31 -'!E16,'- 31 -'!C16,'- 30 -'!G16,'- 30 -'!E16,'- 30 -'!C16)</f>
        <v>928515</v>
      </c>
      <c r="D16" s="352">
        <f>C16/'- 3 -'!E16</f>
        <v>0.01603204367855852</v>
      </c>
      <c r="E16" s="406">
        <f>C16/'- 7 -'!H16</f>
        <v>105.70525956284153</v>
      </c>
      <c r="F16" s="406">
        <f>SUM('- 33 -'!E16,'- 33 -'!C16,'- 32 -'!G16,'- 32 -'!E16,'- 32 -'!C16)</f>
        <v>6350690</v>
      </c>
      <c r="G16" s="352">
        <f>F16/'- 3 -'!E16</f>
        <v>0.10965309065441572</v>
      </c>
      <c r="H16" s="406">
        <f>F16/'- 7 -'!H16</f>
        <v>722.9838342440802</v>
      </c>
      <c r="I16" s="406">
        <f>SUM('- 34 -'!C16,'- 34 -'!E16)</f>
        <v>1070012</v>
      </c>
      <c r="J16" s="352">
        <f>I16/'- 3 -'!E16</f>
        <v>0.018475177159853917</v>
      </c>
      <c r="K16" s="406">
        <f>I16/'- 7 -'!H16</f>
        <v>121.81375227686704</v>
      </c>
    </row>
    <row r="17" spans="1:11" ht="12.75">
      <c r="A17" s="11">
        <v>9</v>
      </c>
      <c r="B17" s="12" t="s">
        <v>122</v>
      </c>
      <c r="C17" s="405">
        <f>SUM('- 31 -'!E17,'- 31 -'!C17,'- 30 -'!G17,'- 30 -'!E17,'- 30 -'!C17)</f>
        <v>1715062</v>
      </c>
      <c r="D17" s="351">
        <f>C17/'- 3 -'!E17</f>
        <v>0.02103810861017318</v>
      </c>
      <c r="E17" s="405">
        <f>C17/'- 7 -'!H17</f>
        <v>136.80330549506647</v>
      </c>
      <c r="F17" s="405">
        <f>SUM('- 33 -'!E17,'- 33 -'!C17,'- 32 -'!G17,'- 32 -'!E17,'- 32 -'!C17)</f>
        <v>8843175</v>
      </c>
      <c r="G17" s="351">
        <f>F17/'- 3 -'!E17</f>
        <v>0.1084763560202303</v>
      </c>
      <c r="H17" s="405">
        <f>F17/'- 7 -'!H17</f>
        <v>705.3829955251382</v>
      </c>
      <c r="I17" s="405">
        <f>SUM('- 34 -'!C17,'- 34 -'!E17)</f>
        <v>1396036</v>
      </c>
      <c r="J17" s="351">
        <f>I17/'- 3 -'!E17</f>
        <v>0.01712472026767063</v>
      </c>
      <c r="K17" s="405">
        <f>I17/'- 7 -'!H17</f>
        <v>111.35593896320403</v>
      </c>
    </row>
    <row r="18" spans="1:11" ht="12.75">
      <c r="A18" s="13">
        <v>10</v>
      </c>
      <c r="B18" s="14" t="s">
        <v>123</v>
      </c>
      <c r="C18" s="406">
        <f>SUM('- 31 -'!E18,'- 31 -'!C18,'- 30 -'!G18,'- 30 -'!E18,'- 30 -'!C18)</f>
        <v>1878551.3399999999</v>
      </c>
      <c r="D18" s="352">
        <f>C18/'- 3 -'!E18</f>
        <v>0.03135046211327551</v>
      </c>
      <c r="E18" s="406">
        <f>C18/'- 7 -'!H18</f>
        <v>219.29041498861844</v>
      </c>
      <c r="F18" s="406">
        <f>SUM('- 33 -'!E18,'- 33 -'!C18,'- 32 -'!G18,'- 32 -'!E18,'- 32 -'!C18)</f>
        <v>8069894.53</v>
      </c>
      <c r="G18" s="352">
        <f>F18/'- 3 -'!E18</f>
        <v>0.1346755435073147</v>
      </c>
      <c r="H18" s="406">
        <f>F18/'- 7 -'!H18</f>
        <v>942.0293620498453</v>
      </c>
      <c r="I18" s="406">
        <f>SUM('- 34 -'!C18,'- 34 -'!E18)</f>
        <v>1081910.72</v>
      </c>
      <c r="J18" s="352">
        <f>I18/'- 3 -'!E18</f>
        <v>0.018055615683788887</v>
      </c>
      <c r="K18" s="406">
        <f>I18/'- 7 -'!H18</f>
        <v>126.295537267262</v>
      </c>
    </row>
    <row r="19" spans="1:11" ht="12.75">
      <c r="A19" s="11">
        <v>11</v>
      </c>
      <c r="B19" s="12" t="s">
        <v>124</v>
      </c>
      <c r="C19" s="405">
        <f>SUM('- 31 -'!E19,'- 31 -'!C19,'- 30 -'!G19,'- 30 -'!E19,'- 30 -'!C19)</f>
        <v>1620313</v>
      </c>
      <c r="D19" s="351">
        <f>C19/'- 3 -'!E19</f>
        <v>0.050120952211882085</v>
      </c>
      <c r="E19" s="405">
        <f>C19/'- 7 -'!H19</f>
        <v>343.61425087477465</v>
      </c>
      <c r="F19" s="405">
        <f>SUM('- 33 -'!E19,'- 33 -'!C19,'- 32 -'!G19,'- 32 -'!E19,'- 32 -'!C19)</f>
        <v>3447038</v>
      </c>
      <c r="G19" s="351">
        <f>F19/'- 3 -'!E19</f>
        <v>0.10662682263892322</v>
      </c>
      <c r="H19" s="405">
        <f>F19/'- 7 -'!H19</f>
        <v>731.0015904994168</v>
      </c>
      <c r="I19" s="405">
        <f>SUM('- 34 -'!C19,'- 34 -'!E19)</f>
        <v>592744</v>
      </c>
      <c r="J19" s="351">
        <f>I19/'- 3 -'!E19</f>
        <v>0.018335280712973256</v>
      </c>
      <c r="K19" s="405">
        <f>I19/'- 7 -'!H19</f>
        <v>125.70119817622734</v>
      </c>
    </row>
    <row r="20" spans="1:11" ht="12.75">
      <c r="A20" s="13">
        <v>12</v>
      </c>
      <c r="B20" s="14" t="s">
        <v>125</v>
      </c>
      <c r="C20" s="406">
        <f>SUM('- 31 -'!E20,'- 31 -'!C20,'- 30 -'!G20,'- 30 -'!E20,'- 30 -'!C20)</f>
        <v>1920825</v>
      </c>
      <c r="D20" s="352">
        <f>C20/'- 3 -'!E20</f>
        <v>0.03708272486833468</v>
      </c>
      <c r="E20" s="406">
        <f>C20/'- 7 -'!H20</f>
        <v>248.8437621453556</v>
      </c>
      <c r="F20" s="406">
        <f>SUM('- 33 -'!E20,'- 33 -'!C20,'- 32 -'!G20,'- 32 -'!E20,'- 32 -'!C20)</f>
        <v>5106589</v>
      </c>
      <c r="G20" s="352">
        <f>F20/'- 3 -'!E20</f>
        <v>0.09858588622215159</v>
      </c>
      <c r="H20" s="406">
        <f>F20/'- 7 -'!H20</f>
        <v>661.5609534913849</v>
      </c>
      <c r="I20" s="406">
        <f>SUM('- 34 -'!C20,'- 34 -'!E20)</f>
        <v>977646</v>
      </c>
      <c r="J20" s="352">
        <f>I20/'- 3 -'!E20</f>
        <v>0.018874065902218018</v>
      </c>
      <c r="K20" s="406">
        <f>I20/'- 7 -'!H20</f>
        <v>126.65448892343568</v>
      </c>
    </row>
    <row r="21" spans="1:11" ht="12.75">
      <c r="A21" s="11">
        <v>13</v>
      </c>
      <c r="B21" s="12" t="s">
        <v>126</v>
      </c>
      <c r="C21" s="405">
        <f>SUM('- 31 -'!E21,'- 31 -'!C21,'- 30 -'!G21,'- 30 -'!E21,'- 30 -'!C21)</f>
        <v>1437045</v>
      </c>
      <c r="D21" s="351">
        <f>C21/'- 3 -'!E21</f>
        <v>0.07269421989783367</v>
      </c>
      <c r="E21" s="405">
        <f>C21/'- 7 -'!H21</f>
        <v>537.37379403186</v>
      </c>
      <c r="F21" s="405">
        <f>SUM('- 33 -'!E21,'- 33 -'!C21,'- 32 -'!G21,'- 32 -'!E21,'- 32 -'!C21)</f>
        <v>2051491</v>
      </c>
      <c r="G21" s="351">
        <f>F21/'- 3 -'!E21</f>
        <v>0.10377652604645415</v>
      </c>
      <c r="H21" s="405">
        <f>F21/'- 7 -'!H21</f>
        <v>767.1419489940918</v>
      </c>
      <c r="I21" s="405">
        <f>SUM('- 34 -'!C21,'- 34 -'!E21)</f>
        <v>401079</v>
      </c>
      <c r="J21" s="351">
        <f>I21/'- 3 -'!E21</f>
        <v>0.020288943646443385</v>
      </c>
      <c r="K21" s="405">
        <f>I21/'- 7 -'!H21</f>
        <v>149.9809288759255</v>
      </c>
    </row>
    <row r="22" spans="1:11" ht="12.75">
      <c r="A22" s="13">
        <v>14</v>
      </c>
      <c r="B22" s="14" t="s">
        <v>127</v>
      </c>
      <c r="C22" s="406">
        <f>SUM('- 31 -'!E22,'- 31 -'!C22,'- 30 -'!G22,'- 30 -'!E22,'- 30 -'!C22)</f>
        <v>1590231</v>
      </c>
      <c r="D22" s="352">
        <f>C22/'- 3 -'!E22</f>
        <v>0.06915465673946844</v>
      </c>
      <c r="E22" s="406">
        <f>C22/'- 7 -'!H22</f>
        <v>452.34845683402074</v>
      </c>
      <c r="F22" s="406">
        <f>SUM('- 33 -'!E22,'- 33 -'!C22,'- 32 -'!G22,'- 32 -'!E22,'- 32 -'!C22)</f>
        <v>2653653</v>
      </c>
      <c r="G22" s="352">
        <f>F22/'- 3 -'!E22</f>
        <v>0.11539987732641399</v>
      </c>
      <c r="H22" s="406">
        <f>F22/'- 7 -'!H22</f>
        <v>754.8436922201678</v>
      </c>
      <c r="I22" s="406">
        <f>SUM('- 34 -'!C22,'- 34 -'!E22)</f>
        <v>374898</v>
      </c>
      <c r="J22" s="352">
        <f>I22/'- 3 -'!E22</f>
        <v>0.016303255629096174</v>
      </c>
      <c r="K22" s="406">
        <f>I22/'- 7 -'!H22</f>
        <v>106.64144502915659</v>
      </c>
    </row>
    <row r="23" spans="1:11" ht="12.75">
      <c r="A23" s="11">
        <v>15</v>
      </c>
      <c r="B23" s="12" t="s">
        <v>128</v>
      </c>
      <c r="C23" s="405">
        <f>SUM('- 31 -'!E23,'- 31 -'!C23,'- 30 -'!G23,'- 30 -'!E23,'- 30 -'!C23)</f>
        <v>1663656</v>
      </c>
      <c r="D23" s="351">
        <f>C23/'- 3 -'!E23</f>
        <v>0.05200975647179389</v>
      </c>
      <c r="E23" s="405">
        <f>C23/'- 7 -'!H23</f>
        <v>277.55355355355357</v>
      </c>
      <c r="F23" s="405">
        <f>SUM('- 33 -'!E23,'- 33 -'!C23,'- 32 -'!G23,'- 32 -'!E23,'- 32 -'!C23)</f>
        <v>3536724</v>
      </c>
      <c r="G23" s="351">
        <f>F23/'- 3 -'!E23</f>
        <v>0.11056621918710886</v>
      </c>
      <c r="H23" s="405">
        <f>F23/'- 7 -'!H23</f>
        <v>590.0440440440441</v>
      </c>
      <c r="I23" s="405">
        <f>SUM('- 34 -'!C23,'- 34 -'!E23)</f>
        <v>595333</v>
      </c>
      <c r="J23" s="351">
        <f>I23/'- 3 -'!E23</f>
        <v>0.018611494413281637</v>
      </c>
      <c r="K23" s="405">
        <f>I23/'- 7 -'!H23</f>
        <v>99.3214881548215</v>
      </c>
    </row>
    <row r="24" spans="1:11" ht="12.75">
      <c r="A24" s="13">
        <v>16</v>
      </c>
      <c r="B24" s="14" t="s">
        <v>129</v>
      </c>
      <c r="C24" s="406">
        <f>SUM('- 31 -'!E24,'- 31 -'!C24,'- 30 -'!G24,'- 30 -'!E24,'- 30 -'!C24)</f>
        <v>614941.2999999999</v>
      </c>
      <c r="D24" s="352">
        <f>C24/'- 3 -'!E24</f>
        <v>0.09950642690027763</v>
      </c>
      <c r="E24" s="406">
        <f>C24/'- 7 -'!H24</f>
        <v>731.3764272121788</v>
      </c>
      <c r="F24" s="406">
        <f>SUM('- 33 -'!E24,'- 33 -'!C24,'- 32 -'!G24,'- 32 -'!E24,'- 32 -'!C24)</f>
        <v>747460</v>
      </c>
      <c r="G24" s="352">
        <f>F24/'- 3 -'!E24</f>
        <v>0.1209498757863255</v>
      </c>
      <c r="H24" s="406">
        <f>F24/'- 7 -'!H24</f>
        <v>888.9866793529972</v>
      </c>
      <c r="I24" s="406">
        <f>SUM('- 34 -'!C24,'- 34 -'!E24)</f>
        <v>117366</v>
      </c>
      <c r="J24" s="352">
        <f>I24/'- 3 -'!E24</f>
        <v>0.018991522116953253</v>
      </c>
      <c r="K24" s="406">
        <f>I24/'- 7 -'!H24</f>
        <v>139.5884871550904</v>
      </c>
    </row>
    <row r="25" spans="1:11" ht="12.75">
      <c r="A25" s="11">
        <v>17</v>
      </c>
      <c r="B25" s="12" t="s">
        <v>130</v>
      </c>
      <c r="C25" s="405">
        <f>SUM('- 31 -'!E25,'- 31 -'!C25,'- 30 -'!G25,'- 30 -'!E25,'- 30 -'!C25)</f>
        <v>368493</v>
      </c>
      <c r="D25" s="351">
        <f>C25/'- 3 -'!E25</f>
        <v>0.08851821087196755</v>
      </c>
      <c r="E25" s="405">
        <f>C25/'- 7 -'!H25</f>
        <v>755.108606557377</v>
      </c>
      <c r="F25" s="405">
        <f>SUM('- 33 -'!E25,'- 33 -'!C25,'- 32 -'!G25,'- 32 -'!E25,'- 32 -'!C25)</f>
        <v>451356</v>
      </c>
      <c r="G25" s="351">
        <f>F25/'- 3 -'!E25</f>
        <v>0.10842329592781351</v>
      </c>
      <c r="H25" s="405">
        <f>F25/'- 7 -'!H25</f>
        <v>924.9098360655738</v>
      </c>
      <c r="I25" s="405">
        <f>SUM('- 34 -'!C25,'- 34 -'!E25)</f>
        <v>68158</v>
      </c>
      <c r="J25" s="351">
        <f>I25/'- 3 -'!E25</f>
        <v>0.016372696948413035</v>
      </c>
      <c r="K25" s="405">
        <f>I25/'- 7 -'!H25</f>
        <v>139.66803278688525</v>
      </c>
    </row>
    <row r="26" spans="1:11" ht="12.75">
      <c r="A26" s="13">
        <v>18</v>
      </c>
      <c r="B26" s="14" t="s">
        <v>131</v>
      </c>
      <c r="C26" s="406">
        <f>SUM('- 31 -'!E26,'- 31 -'!C26,'- 30 -'!G26,'- 30 -'!E26,'- 30 -'!C26)</f>
        <v>638775</v>
      </c>
      <c r="D26" s="352">
        <f>C26/'- 3 -'!E26</f>
        <v>0.0665122247480306</v>
      </c>
      <c r="E26" s="406">
        <f>C26/'- 7 -'!H26</f>
        <v>434.39306358381504</v>
      </c>
      <c r="F26" s="406">
        <f>SUM('- 33 -'!E26,'- 33 -'!C26,'- 32 -'!G26,'- 32 -'!E26,'- 32 -'!C26)</f>
        <v>1157482.4</v>
      </c>
      <c r="G26" s="352">
        <f>F26/'- 3 -'!E26</f>
        <v>0.12052245239824642</v>
      </c>
      <c r="H26" s="406">
        <f>F26/'- 7 -'!H26</f>
        <v>787.1352601156069</v>
      </c>
      <c r="I26" s="406">
        <f>SUM('- 34 -'!C26,'- 34 -'!E26)</f>
        <v>210128</v>
      </c>
      <c r="J26" s="352">
        <f>I26/'- 3 -'!E26</f>
        <v>0.021879504930302808</v>
      </c>
      <c r="K26" s="406">
        <f>I26/'- 7 -'!H26</f>
        <v>142.8956137368242</v>
      </c>
    </row>
    <row r="27" spans="1:11" ht="12.75">
      <c r="A27" s="11">
        <v>19</v>
      </c>
      <c r="B27" s="12" t="s">
        <v>132</v>
      </c>
      <c r="C27" s="405">
        <f>SUM('- 31 -'!E27,'- 31 -'!C27,'- 30 -'!G27,'- 30 -'!E27,'- 30 -'!C27)</f>
        <v>1101657.5</v>
      </c>
      <c r="D27" s="351">
        <f>C27/'- 3 -'!E27</f>
        <v>0.07494554183719024</v>
      </c>
      <c r="E27" s="405">
        <f>C27/'- 7 -'!H27</f>
        <v>592.7670164110842</v>
      </c>
      <c r="F27" s="405">
        <f>SUM('- 33 -'!E27,'- 33 -'!C27,'- 32 -'!G27,'- 32 -'!E27,'- 32 -'!C27)</f>
        <v>1247297.78</v>
      </c>
      <c r="G27" s="351">
        <f>F27/'- 3 -'!E27</f>
        <v>0.08485342128059266</v>
      </c>
      <c r="H27" s="405">
        <f>F27/'- 7 -'!H27</f>
        <v>671.1314393327953</v>
      </c>
      <c r="I27" s="405">
        <f>SUM('- 34 -'!C27,'- 34 -'!E27)</f>
        <v>275127</v>
      </c>
      <c r="J27" s="351">
        <f>I27/'- 3 -'!E27</f>
        <v>0.018716835394885105</v>
      </c>
      <c r="K27" s="405">
        <f>I27/'- 7 -'!H27</f>
        <v>148.03712671509282</v>
      </c>
    </row>
    <row r="28" spans="1:11" ht="12.75">
      <c r="A28" s="13">
        <v>20</v>
      </c>
      <c r="B28" s="14" t="s">
        <v>133</v>
      </c>
      <c r="C28" s="406">
        <f>SUM('- 31 -'!E28,'- 31 -'!C28,'- 30 -'!G28,'- 30 -'!E28,'- 30 -'!C28)</f>
        <v>515815</v>
      </c>
      <c r="D28" s="352">
        <f>C28/'- 3 -'!E28</f>
        <v>0.06823761185357888</v>
      </c>
      <c r="E28" s="406">
        <f>C28/'- 7 -'!H28</f>
        <v>540.4033525405972</v>
      </c>
      <c r="F28" s="406">
        <f>SUM('- 33 -'!E28,'- 33 -'!C28,'- 32 -'!G28,'- 32 -'!E28,'- 32 -'!C28)</f>
        <v>666352</v>
      </c>
      <c r="G28" s="352">
        <f>F28/'- 3 -'!E28</f>
        <v>0.0881522816006824</v>
      </c>
      <c r="H28" s="406">
        <f>F28/'- 7 -'!H28</f>
        <v>698.1162912519644</v>
      </c>
      <c r="I28" s="406">
        <f>SUM('- 34 -'!C28,'- 34 -'!E28)</f>
        <v>146896</v>
      </c>
      <c r="J28" s="352">
        <f>I28/'- 3 -'!E28</f>
        <v>0.019432998712413024</v>
      </c>
      <c r="K28" s="406">
        <f>I28/'- 7 -'!H28</f>
        <v>153.89837611314823</v>
      </c>
    </row>
    <row r="29" spans="1:11" ht="12.75">
      <c r="A29" s="11">
        <v>21</v>
      </c>
      <c r="B29" s="12" t="s">
        <v>134</v>
      </c>
      <c r="C29" s="405">
        <f>SUM('- 31 -'!E29,'- 31 -'!C29,'- 30 -'!G29,'- 30 -'!E29,'- 30 -'!C29)</f>
        <v>1511900</v>
      </c>
      <c r="D29" s="351">
        <f>C29/'- 3 -'!E29</f>
        <v>0.06778150102557684</v>
      </c>
      <c r="E29" s="405">
        <f>C29/'- 7 -'!H29</f>
        <v>440.59449220457526</v>
      </c>
      <c r="F29" s="405">
        <f>SUM('- 33 -'!E29,'- 33 -'!C29,'- 32 -'!G29,'- 32 -'!E29,'- 32 -'!C29)</f>
        <v>2462295</v>
      </c>
      <c r="G29" s="351">
        <f>F29/'- 3 -'!E29</f>
        <v>0.11038960980737662</v>
      </c>
      <c r="H29" s="405">
        <f>F29/'- 7 -'!H29</f>
        <v>717.5564621885472</v>
      </c>
      <c r="I29" s="405">
        <f>SUM('- 34 -'!C29,'- 34 -'!E29)</f>
        <v>418815</v>
      </c>
      <c r="J29" s="351">
        <f>I29/'- 3 -'!E29</f>
        <v>0.018776314142487573</v>
      </c>
      <c r="K29" s="405">
        <f>I29/'- 7 -'!H29</f>
        <v>122.05012385254263</v>
      </c>
    </row>
    <row r="30" spans="1:11" ht="12.75">
      <c r="A30" s="13">
        <v>22</v>
      </c>
      <c r="B30" s="14" t="s">
        <v>135</v>
      </c>
      <c r="C30" s="406">
        <f>SUM('- 31 -'!E30,'- 31 -'!C30,'- 30 -'!G30,'- 30 -'!E30,'- 30 -'!C30)</f>
        <v>879517</v>
      </c>
      <c r="D30" s="352">
        <f>C30/'- 3 -'!E30</f>
        <v>0.07471454625446101</v>
      </c>
      <c r="E30" s="406">
        <f>C30/'- 7 -'!H30</f>
        <v>498.1687907108468</v>
      </c>
      <c r="F30" s="406">
        <f>SUM('- 33 -'!E30,'- 33 -'!C30,'- 32 -'!G30,'- 32 -'!E30,'- 32 -'!C30)</f>
        <v>1413660</v>
      </c>
      <c r="G30" s="352">
        <f>F30/'- 3 -'!E30</f>
        <v>0.12008973727407357</v>
      </c>
      <c r="H30" s="406">
        <f>F30/'- 7 -'!H30</f>
        <v>800.71367884452</v>
      </c>
      <c r="I30" s="406">
        <f>SUM('- 34 -'!C30,'- 34 -'!E30)</f>
        <v>245993</v>
      </c>
      <c r="J30" s="352">
        <f>I30/'- 3 -'!E30</f>
        <v>0.020896987069918636</v>
      </c>
      <c r="K30" s="406">
        <f>I30/'- 7 -'!H30</f>
        <v>139.33333333333334</v>
      </c>
    </row>
    <row r="31" spans="1:11" ht="12.75">
      <c r="A31" s="11">
        <v>23</v>
      </c>
      <c r="B31" s="12" t="s">
        <v>136</v>
      </c>
      <c r="C31" s="405">
        <f>SUM('- 31 -'!E31,'- 31 -'!C31,'- 30 -'!G31,'- 30 -'!E31,'- 30 -'!C31)</f>
        <v>1111590</v>
      </c>
      <c r="D31" s="351">
        <f>C31/'- 3 -'!E31</f>
        <v>0.10990263701470272</v>
      </c>
      <c r="E31" s="405">
        <f>C31/'- 7 -'!H31</f>
        <v>773.0111265646732</v>
      </c>
      <c r="F31" s="405">
        <f>SUM('- 33 -'!E31,'- 33 -'!C31,'- 32 -'!G31,'- 32 -'!E31,'- 32 -'!C31)</f>
        <v>965936</v>
      </c>
      <c r="G31" s="351">
        <f>F31/'- 3 -'!E31</f>
        <v>0.09550186092663113</v>
      </c>
      <c r="H31" s="405">
        <f>F31/'- 7 -'!H31</f>
        <v>671.721835883171</v>
      </c>
      <c r="I31" s="405">
        <f>SUM('- 34 -'!C31,'- 34 -'!E31)</f>
        <v>190011</v>
      </c>
      <c r="J31" s="351">
        <f>I31/'- 3 -'!E31</f>
        <v>0.018786342052196116</v>
      </c>
      <c r="K31" s="405">
        <f>I31/'- 7 -'!H31</f>
        <v>132.1356050069541</v>
      </c>
    </row>
    <row r="32" spans="1:11" ht="12.75">
      <c r="A32" s="13">
        <v>24</v>
      </c>
      <c r="B32" s="14" t="s">
        <v>137</v>
      </c>
      <c r="C32" s="406">
        <f>SUM('- 31 -'!E32,'- 31 -'!C32,'- 30 -'!G32,'- 30 -'!E32,'- 30 -'!C32)</f>
        <v>719375</v>
      </c>
      <c r="D32" s="352">
        <f>C32/'- 3 -'!E32</f>
        <v>0.03164708012105847</v>
      </c>
      <c r="E32" s="406">
        <f>C32/'- 7 -'!H32</f>
        <v>201.33641197872936</v>
      </c>
      <c r="F32" s="406">
        <f>SUM('- 33 -'!E32,'- 33 -'!C32,'- 32 -'!G32,'- 32 -'!E32,'- 32 -'!C32)</f>
        <v>2823173</v>
      </c>
      <c r="G32" s="352">
        <f>F32/'- 3 -'!E32</f>
        <v>0.1241983417919847</v>
      </c>
      <c r="H32" s="406">
        <f>F32/'- 7 -'!H32</f>
        <v>790.1407780576546</v>
      </c>
      <c r="I32" s="406">
        <f>SUM('- 34 -'!C32,'- 34 -'!E32)</f>
        <v>389133</v>
      </c>
      <c r="J32" s="352">
        <f>I32/'- 3 -'!E32</f>
        <v>0.017118920213724197</v>
      </c>
      <c r="K32" s="406">
        <f>I32/'- 7 -'!H32</f>
        <v>108.90931989924434</v>
      </c>
    </row>
    <row r="33" spans="1:11" ht="12.75">
      <c r="A33" s="11">
        <v>25</v>
      </c>
      <c r="B33" s="12" t="s">
        <v>138</v>
      </c>
      <c r="C33" s="405">
        <f>SUM('- 31 -'!E33,'- 31 -'!C33,'- 30 -'!G33,'- 30 -'!E33,'- 30 -'!C33)</f>
        <v>844449</v>
      </c>
      <c r="D33" s="351">
        <f>C33/'- 3 -'!E33</f>
        <v>0.08036060442437301</v>
      </c>
      <c r="E33" s="405">
        <f>C33/'- 7 -'!H33</f>
        <v>578.7464875608252</v>
      </c>
      <c r="F33" s="405">
        <f>SUM('- 33 -'!E33,'- 33 -'!C33,'- 32 -'!G33,'- 32 -'!E33,'- 32 -'!C33)</f>
        <v>1152311</v>
      </c>
      <c r="G33" s="351">
        <f>F33/'- 3 -'!E33</f>
        <v>0.10965778684663453</v>
      </c>
      <c r="H33" s="405">
        <f>F33/'- 7 -'!H33</f>
        <v>789.740936193544</v>
      </c>
      <c r="I33" s="405">
        <f>SUM('- 34 -'!C33,'- 34 -'!E33)</f>
        <v>189394</v>
      </c>
      <c r="J33" s="351">
        <f>I33/'- 3 -'!E33</f>
        <v>0.018023369456710472</v>
      </c>
      <c r="K33" s="405">
        <f>I33/'- 7 -'!H33</f>
        <v>129.80193269823866</v>
      </c>
    </row>
    <row r="34" spans="1:11" ht="12.75">
      <c r="A34" s="13">
        <v>26</v>
      </c>
      <c r="B34" s="14" t="s">
        <v>139</v>
      </c>
      <c r="C34" s="406">
        <f>SUM('- 31 -'!E34,'- 31 -'!C34,'- 30 -'!G34,'- 30 -'!E34,'- 30 -'!C34)</f>
        <v>620973</v>
      </c>
      <c r="D34" s="352">
        <f>C34/'- 3 -'!E34</f>
        <v>0.03828589139318552</v>
      </c>
      <c r="E34" s="406">
        <f>C34/'- 7 -'!H34</f>
        <v>218.41405508072177</v>
      </c>
      <c r="F34" s="406">
        <f>SUM('- 33 -'!E34,'- 33 -'!C34,'- 32 -'!G34,'- 32 -'!E34,'- 32 -'!C34)</f>
        <v>1485022</v>
      </c>
      <c r="G34" s="352">
        <f>F34/'- 3 -'!E34</f>
        <v>0.09155855569966995</v>
      </c>
      <c r="H34" s="406">
        <f>F34/'- 7 -'!H34</f>
        <v>522.3249270162851</v>
      </c>
      <c r="I34" s="406">
        <f>SUM('- 34 -'!C34,'- 34 -'!E34)</f>
        <v>308208</v>
      </c>
      <c r="J34" s="352">
        <f>I34/'- 3 -'!E34</f>
        <v>0.01900246550898497</v>
      </c>
      <c r="K34" s="406">
        <f>I34/'- 7 -'!H34</f>
        <v>108.40561359079878</v>
      </c>
    </row>
    <row r="35" spans="1:11" ht="12.75">
      <c r="A35" s="11">
        <v>28</v>
      </c>
      <c r="B35" s="12" t="s">
        <v>140</v>
      </c>
      <c r="C35" s="405">
        <f>SUM('- 31 -'!E35,'- 31 -'!C35,'- 30 -'!G35,'- 30 -'!E35,'- 30 -'!C35)</f>
        <v>473901</v>
      </c>
      <c r="D35" s="351">
        <f>C35/'- 3 -'!E35</f>
        <v>0.0744006786005794</v>
      </c>
      <c r="E35" s="405">
        <f>C35/'- 7 -'!H35</f>
        <v>537.7172877048065</v>
      </c>
      <c r="F35" s="405">
        <f>SUM('- 33 -'!E35,'- 33 -'!C35,'- 32 -'!G35,'- 32 -'!E35,'- 32 -'!C35)</f>
        <v>636135</v>
      </c>
      <c r="G35" s="351">
        <f>F35/'- 3 -'!E35</f>
        <v>0.09987080778808144</v>
      </c>
      <c r="H35" s="405">
        <f>F35/'- 7 -'!H35</f>
        <v>721.7979848409204</v>
      </c>
      <c r="I35" s="405">
        <f>SUM('- 34 -'!C35,'- 34 -'!E35)</f>
        <v>106315</v>
      </c>
      <c r="J35" s="351">
        <f>I35/'- 3 -'!E35</f>
        <v>0.01669105603368763</v>
      </c>
      <c r="K35" s="405">
        <f>I35/'- 7 -'!H35</f>
        <v>120.63155267099351</v>
      </c>
    </row>
    <row r="36" spans="1:11" ht="12.75">
      <c r="A36" s="13">
        <v>30</v>
      </c>
      <c r="B36" s="14" t="s">
        <v>141</v>
      </c>
      <c r="C36" s="406">
        <f>SUM('- 31 -'!E36,'- 31 -'!C36,'- 30 -'!G36,'- 30 -'!E36,'- 30 -'!C36)</f>
        <v>876046</v>
      </c>
      <c r="D36" s="352">
        <f>C36/'- 3 -'!E36</f>
        <v>0.09482096879428265</v>
      </c>
      <c r="E36" s="406">
        <f>C36/'- 7 -'!H36</f>
        <v>673.001459629715</v>
      </c>
      <c r="F36" s="406">
        <f>SUM('- 33 -'!E36,'- 33 -'!C36,'- 32 -'!G36,'- 32 -'!E36,'- 32 -'!C36)</f>
        <v>1041362</v>
      </c>
      <c r="G36" s="352">
        <f>F36/'- 3 -'!E36</f>
        <v>0.11271434799719622</v>
      </c>
      <c r="H36" s="406">
        <f>F36/'- 7 -'!H36</f>
        <v>800.0015364523315</v>
      </c>
      <c r="I36" s="406">
        <f>SUM('- 34 -'!C36,'- 34 -'!E36)</f>
        <v>153487</v>
      </c>
      <c r="J36" s="352">
        <f>I36/'- 3 -'!E36</f>
        <v>0.016613038627341554</v>
      </c>
      <c r="K36" s="406">
        <f>I36/'- 7 -'!H36</f>
        <v>117.91272950756702</v>
      </c>
    </row>
    <row r="37" spans="1:11" ht="12.75">
      <c r="A37" s="11">
        <v>31</v>
      </c>
      <c r="B37" s="12" t="s">
        <v>142</v>
      </c>
      <c r="C37" s="405">
        <f>SUM('- 31 -'!E37,'- 31 -'!C37,'- 30 -'!G37,'- 30 -'!E37,'- 30 -'!C37)</f>
        <v>775263</v>
      </c>
      <c r="D37" s="351">
        <f>C37/'- 3 -'!E37</f>
        <v>0.07205627740230346</v>
      </c>
      <c r="E37" s="405">
        <f>C37/'- 7 -'!H37</f>
        <v>469.5717746820109</v>
      </c>
      <c r="F37" s="405">
        <f>SUM('- 33 -'!E37,'- 33 -'!C37,'- 32 -'!G37,'- 32 -'!E37,'- 32 -'!C37)</f>
        <v>1248445</v>
      </c>
      <c r="G37" s="351">
        <f>F37/'- 3 -'!E37</f>
        <v>0.11603584750145272</v>
      </c>
      <c r="H37" s="405">
        <f>F37/'- 7 -'!H37</f>
        <v>756.175045427014</v>
      </c>
      <c r="I37" s="405">
        <f>SUM('- 34 -'!C37,'- 34 -'!E37)</f>
        <v>185831</v>
      </c>
      <c r="J37" s="351">
        <f>I37/'- 3 -'!E37</f>
        <v>0.017271932345471735</v>
      </c>
      <c r="K37" s="405">
        <f>I37/'- 7 -'!H37</f>
        <v>112.55663234403391</v>
      </c>
    </row>
    <row r="38" spans="1:11" ht="12.75">
      <c r="A38" s="13">
        <v>32</v>
      </c>
      <c r="B38" s="14" t="s">
        <v>143</v>
      </c>
      <c r="C38" s="406">
        <f>SUM('- 31 -'!E38,'- 31 -'!C38,'- 30 -'!G38,'- 30 -'!E38,'- 30 -'!C38)</f>
        <v>663613</v>
      </c>
      <c r="D38" s="352">
        <f>C38/'- 3 -'!E38</f>
        <v>0.10461519460721821</v>
      </c>
      <c r="E38" s="406">
        <f>C38/'- 7 -'!H38</f>
        <v>800.4981905910736</v>
      </c>
      <c r="F38" s="406">
        <f>SUM('- 33 -'!E38,'- 33 -'!C38,'- 32 -'!G38,'- 32 -'!E38,'- 32 -'!C38)</f>
        <v>713197</v>
      </c>
      <c r="G38" s="352">
        <f>F38/'- 3 -'!E38</f>
        <v>0.11243185855051696</v>
      </c>
      <c r="H38" s="406">
        <f>F38/'- 7 -'!H38</f>
        <v>860.3100120627262</v>
      </c>
      <c r="I38" s="406">
        <f>SUM('- 34 -'!C38,'- 34 -'!E38)</f>
        <v>105674</v>
      </c>
      <c r="J38" s="352">
        <f>I38/'- 3 -'!E38</f>
        <v>0.016658965503875266</v>
      </c>
      <c r="K38" s="406">
        <f>I38/'- 7 -'!H38</f>
        <v>127.47165259348613</v>
      </c>
    </row>
    <row r="39" spans="1:11" ht="12.75">
      <c r="A39" s="11">
        <v>33</v>
      </c>
      <c r="B39" s="12" t="s">
        <v>144</v>
      </c>
      <c r="C39" s="405">
        <f>SUM('- 31 -'!E39,'- 31 -'!C39,'- 30 -'!G39,'- 30 -'!E39,'- 30 -'!C39)</f>
        <v>600940</v>
      </c>
      <c r="D39" s="351">
        <f>C39/'- 3 -'!E39</f>
        <v>0.04622250937906819</v>
      </c>
      <c r="E39" s="405">
        <f>C39/'- 7 -'!H39</f>
        <v>315.7856016815554</v>
      </c>
      <c r="F39" s="405">
        <f>SUM('- 33 -'!E39,'- 33 -'!C39,'- 32 -'!G39,'- 32 -'!E39,'- 32 -'!C39)</f>
        <v>1446475</v>
      </c>
      <c r="G39" s="351">
        <f>F39/'- 3 -'!E39</f>
        <v>0.11125853538471005</v>
      </c>
      <c r="H39" s="405">
        <f>F39/'- 7 -'!H39</f>
        <v>760.1024697845507</v>
      </c>
      <c r="I39" s="405">
        <f>SUM('- 34 -'!C39,'- 34 -'!E39)</f>
        <v>235817</v>
      </c>
      <c r="J39" s="351">
        <f>I39/'- 3 -'!E39</f>
        <v>0.01813833909249463</v>
      </c>
      <c r="K39" s="405">
        <f>I39/'- 7 -'!H39</f>
        <v>123.91854965843405</v>
      </c>
    </row>
    <row r="40" spans="1:11" ht="12.75">
      <c r="A40" s="13">
        <v>34</v>
      </c>
      <c r="B40" s="14" t="s">
        <v>145</v>
      </c>
      <c r="C40" s="406">
        <f>SUM('- 31 -'!E40,'- 31 -'!C40,'- 30 -'!G40,'- 30 -'!E40,'- 30 -'!C40)</f>
        <v>569651.84</v>
      </c>
      <c r="D40" s="352">
        <f>C40/'- 3 -'!E40</f>
        <v>0.09840885071815987</v>
      </c>
      <c r="E40" s="406">
        <f>C40/'- 7 -'!H40</f>
        <v>777.1512141882673</v>
      </c>
      <c r="F40" s="406">
        <f>SUM('- 33 -'!E40,'- 33 -'!C40,'- 32 -'!G40,'- 32 -'!E40,'- 32 -'!C40)</f>
        <v>741755.85</v>
      </c>
      <c r="G40" s="352">
        <f>F40/'- 3 -'!E40</f>
        <v>0.12814027022535693</v>
      </c>
      <c r="H40" s="406">
        <f>F40/'- 7 -'!H40</f>
        <v>1011.9452251023192</v>
      </c>
      <c r="I40" s="406">
        <f>SUM('- 34 -'!C40,'- 34 -'!E40)</f>
        <v>93638.45999999999</v>
      </c>
      <c r="J40" s="352">
        <f>I40/'- 3 -'!E40</f>
        <v>0.016176289769586953</v>
      </c>
      <c r="K40" s="406">
        <f>I40/'- 7 -'!H40</f>
        <v>127.7468758526603</v>
      </c>
    </row>
    <row r="41" spans="1:11" ht="12.75">
      <c r="A41" s="11">
        <v>35</v>
      </c>
      <c r="B41" s="12" t="s">
        <v>146</v>
      </c>
      <c r="C41" s="405">
        <f>SUM('- 31 -'!E41,'- 31 -'!C41,'- 30 -'!G41,'- 30 -'!E41,'- 30 -'!C41)</f>
        <v>1057115</v>
      </c>
      <c r="D41" s="351">
        <f>C41/'- 3 -'!E41</f>
        <v>0.07594871449708687</v>
      </c>
      <c r="E41" s="405">
        <f>C41/'- 7 -'!H41</f>
        <v>549.4931905603493</v>
      </c>
      <c r="F41" s="405">
        <f>SUM('- 33 -'!E41,'- 33 -'!C41,'- 32 -'!G41,'- 32 -'!E41,'- 32 -'!C41)</f>
        <v>1639070.43</v>
      </c>
      <c r="G41" s="351">
        <f>F41/'- 3 -'!E41</f>
        <v>0.11775946053994826</v>
      </c>
      <c r="H41" s="405">
        <f>F41/'- 7 -'!H41</f>
        <v>851.9962730013514</v>
      </c>
      <c r="I41" s="405">
        <f>SUM('- 34 -'!C41,'- 34 -'!E41)</f>
        <v>217214</v>
      </c>
      <c r="J41" s="351">
        <f>I41/'- 3 -'!E41</f>
        <v>0.015605798868401478</v>
      </c>
      <c r="K41" s="405">
        <f>I41/'- 7 -'!H41</f>
        <v>112.90882628131821</v>
      </c>
    </row>
    <row r="42" spans="1:11" ht="12.75">
      <c r="A42" s="13">
        <v>36</v>
      </c>
      <c r="B42" s="14" t="s">
        <v>147</v>
      </c>
      <c r="C42" s="406">
        <f>SUM('- 31 -'!E42,'- 31 -'!C42,'- 30 -'!G42,'- 30 -'!E42,'- 30 -'!C42)</f>
        <v>817732</v>
      </c>
      <c r="D42" s="352">
        <f>C42/'- 3 -'!E42</f>
        <v>0.10204212709684778</v>
      </c>
      <c r="E42" s="406">
        <f>C42/'- 7 -'!H42</f>
        <v>810.8398611799703</v>
      </c>
      <c r="F42" s="406">
        <f>SUM('- 33 -'!E42,'- 33 -'!C42,'- 32 -'!G42,'- 32 -'!E42,'- 32 -'!C42)</f>
        <v>1018020</v>
      </c>
      <c r="G42" s="352">
        <f>F42/'- 3 -'!E42</f>
        <v>0.12703541774949859</v>
      </c>
      <c r="H42" s="406">
        <f>F42/'- 7 -'!H42</f>
        <v>1009.4397620228061</v>
      </c>
      <c r="I42" s="406">
        <f>SUM('- 34 -'!C42,'- 34 -'!E42)</f>
        <v>126883</v>
      </c>
      <c r="J42" s="352">
        <f>I42/'- 3 -'!E42</f>
        <v>0.015833318510745986</v>
      </c>
      <c r="K42" s="406">
        <f>I42/'- 7 -'!H42</f>
        <v>125.8135845314824</v>
      </c>
    </row>
    <row r="43" spans="1:11" ht="12.75">
      <c r="A43" s="11">
        <v>37</v>
      </c>
      <c r="B43" s="12" t="s">
        <v>148</v>
      </c>
      <c r="C43" s="405">
        <f>SUM('- 31 -'!E43,'- 31 -'!C43,'- 30 -'!G43,'- 30 -'!E43,'- 30 -'!C43)</f>
        <v>732171</v>
      </c>
      <c r="D43" s="351">
        <f>C43/'- 3 -'!E43</f>
        <v>0.10653774590207982</v>
      </c>
      <c r="E43" s="405">
        <f>C43/'- 7 -'!H43</f>
        <v>760.3021806853583</v>
      </c>
      <c r="F43" s="405">
        <f>SUM('- 33 -'!E43,'- 33 -'!C43,'- 32 -'!G43,'- 32 -'!E43,'- 32 -'!C43)</f>
        <v>761161</v>
      </c>
      <c r="G43" s="351">
        <f>F43/'- 3 -'!E43</f>
        <v>0.11075606273476138</v>
      </c>
      <c r="H43" s="405">
        <f>F43/'- 7 -'!H43</f>
        <v>790.4060228452752</v>
      </c>
      <c r="I43" s="405">
        <f>SUM('- 34 -'!C43,'- 34 -'!E43)</f>
        <v>98498</v>
      </c>
      <c r="J43" s="351">
        <f>I43/'- 3 -'!E43</f>
        <v>0.01433238259349668</v>
      </c>
      <c r="K43" s="405">
        <f>I43/'- 7 -'!H43</f>
        <v>102.28245067497404</v>
      </c>
    </row>
    <row r="44" spans="1:11" ht="12.75">
      <c r="A44" s="13">
        <v>38</v>
      </c>
      <c r="B44" s="14" t="s">
        <v>149</v>
      </c>
      <c r="C44" s="406">
        <f>SUM('- 31 -'!E44,'- 31 -'!C44,'- 30 -'!G44,'- 30 -'!E44,'- 30 -'!C44)</f>
        <v>1030997</v>
      </c>
      <c r="D44" s="352">
        <f>C44/'- 3 -'!E44</f>
        <v>0.11540553016850376</v>
      </c>
      <c r="E44" s="406">
        <f>C44/'- 7 -'!H44</f>
        <v>882.7029109589041</v>
      </c>
      <c r="F44" s="406">
        <f>SUM('- 33 -'!E44,'- 33 -'!C44,'- 32 -'!G44,'- 32 -'!E44,'- 32 -'!C44)</f>
        <v>1033391</v>
      </c>
      <c r="G44" s="352">
        <f>F44/'- 3 -'!E44</f>
        <v>0.11567350460414556</v>
      </c>
      <c r="H44" s="406">
        <f>F44/'- 7 -'!H44</f>
        <v>884.7525684931506</v>
      </c>
      <c r="I44" s="406">
        <f>SUM('- 34 -'!C44,'- 34 -'!E44)</f>
        <v>184993</v>
      </c>
      <c r="J44" s="352">
        <f>I44/'- 3 -'!E44</f>
        <v>0.020707349529108247</v>
      </c>
      <c r="K44" s="406">
        <f>I44/'- 7 -'!H44</f>
        <v>158.38441780821918</v>
      </c>
    </row>
    <row r="45" spans="1:11" ht="12.75">
      <c r="A45" s="11">
        <v>39</v>
      </c>
      <c r="B45" s="12" t="s">
        <v>150</v>
      </c>
      <c r="C45" s="405">
        <f>SUM('- 31 -'!E45,'- 31 -'!C45,'- 30 -'!G45,'- 30 -'!E45,'- 30 -'!C45)</f>
        <v>1044341</v>
      </c>
      <c r="D45" s="351">
        <f>C45/'- 3 -'!E45</f>
        <v>0.06998614338145588</v>
      </c>
      <c r="E45" s="405">
        <f>C45/'- 7 -'!H45</f>
        <v>492.61367924528304</v>
      </c>
      <c r="F45" s="405">
        <f>SUM('- 33 -'!E45,'- 33 -'!C45,'- 32 -'!G45,'- 32 -'!E45,'- 32 -'!C45)</f>
        <v>1609326</v>
      </c>
      <c r="G45" s="351">
        <f>F45/'- 3 -'!E45</f>
        <v>0.10784841367283758</v>
      </c>
      <c r="H45" s="405">
        <f>F45/'- 7 -'!H45</f>
        <v>759.1160377358491</v>
      </c>
      <c r="I45" s="405">
        <f>SUM('- 34 -'!C45,'- 34 -'!E45)</f>
        <v>321696</v>
      </c>
      <c r="J45" s="351">
        <f>I45/'- 3 -'!E45</f>
        <v>0.021558343856308268</v>
      </c>
      <c r="K45" s="405">
        <f>I45/'- 7 -'!H45</f>
        <v>151.7433962264151</v>
      </c>
    </row>
    <row r="46" spans="1:11" ht="12.75">
      <c r="A46" s="13">
        <v>40</v>
      </c>
      <c r="B46" s="14" t="s">
        <v>151</v>
      </c>
      <c r="C46" s="406">
        <f>SUM('- 31 -'!E46,'- 31 -'!C46,'- 30 -'!G46,'- 30 -'!E46,'- 30 -'!C46)</f>
        <v>1288423</v>
      </c>
      <c r="D46" s="352">
        <f>C46/'- 3 -'!E46</f>
        <v>0.028759979288005895</v>
      </c>
      <c r="E46" s="406">
        <f>C46/'- 7 -'!H46</f>
        <v>174.08769085258749</v>
      </c>
      <c r="F46" s="406">
        <f>SUM('- 33 -'!E46,'- 33 -'!C46,'- 32 -'!G46,'- 32 -'!E46,'- 32 -'!C46)</f>
        <v>4377139</v>
      </c>
      <c r="G46" s="352">
        <f>F46/'- 3 -'!E46</f>
        <v>0.09770582097705709</v>
      </c>
      <c r="H46" s="406">
        <f>F46/'- 7 -'!H46</f>
        <v>591.425347925956</v>
      </c>
      <c r="I46" s="406">
        <f>SUM('- 34 -'!C46,'- 34 -'!E46)</f>
        <v>779304</v>
      </c>
      <c r="J46" s="352">
        <f>I46/'- 3 -'!E46</f>
        <v>0.01739550357224308</v>
      </c>
      <c r="K46" s="406">
        <f>I46/'- 7 -'!H46</f>
        <v>105.29712201053911</v>
      </c>
    </row>
    <row r="47" spans="1:11" ht="12.75">
      <c r="A47" s="11">
        <v>41</v>
      </c>
      <c r="B47" s="12" t="s">
        <v>152</v>
      </c>
      <c r="C47" s="405">
        <f>SUM('- 31 -'!E47,'- 31 -'!C47,'- 30 -'!G47,'- 30 -'!E47,'- 30 -'!C47)</f>
        <v>1065872</v>
      </c>
      <c r="D47" s="351">
        <f>C47/'- 3 -'!E47</f>
        <v>0.0868435103038022</v>
      </c>
      <c r="E47" s="405">
        <f>C47/'- 7 -'!H47</f>
        <v>643.7591351090173</v>
      </c>
      <c r="F47" s="405">
        <f>SUM('- 33 -'!E47,'- 33 -'!C47,'- 32 -'!G47,'- 32 -'!E47,'- 32 -'!C47)</f>
        <v>1558041</v>
      </c>
      <c r="G47" s="351">
        <f>F47/'- 3 -'!E47</f>
        <v>0.12694371335136517</v>
      </c>
      <c r="H47" s="405">
        <f>F47/'- 7 -'!H47</f>
        <v>941.0164884942924</v>
      </c>
      <c r="I47" s="405">
        <f>SUM('- 34 -'!C47,'- 34 -'!E47)</f>
        <v>231301</v>
      </c>
      <c r="J47" s="351">
        <f>I47/'- 3 -'!E47</f>
        <v>0.018845593820627386</v>
      </c>
      <c r="K47" s="405">
        <f>I47/'- 7 -'!H47</f>
        <v>139.69982484749653</v>
      </c>
    </row>
    <row r="48" spans="1:11" ht="12.75">
      <c r="A48" s="13">
        <v>42</v>
      </c>
      <c r="B48" s="14" t="s">
        <v>153</v>
      </c>
      <c r="C48" s="406">
        <f>SUM('- 31 -'!E48,'- 31 -'!C48,'- 30 -'!G48,'- 30 -'!E48,'- 30 -'!C48)</f>
        <v>657411</v>
      </c>
      <c r="D48" s="352">
        <f>C48/'- 3 -'!E48</f>
        <v>0.08505543777717918</v>
      </c>
      <c r="E48" s="406">
        <f>C48/'- 7 -'!H48</f>
        <v>621.9593188268685</v>
      </c>
      <c r="F48" s="406">
        <f>SUM('- 33 -'!E48,'- 33 -'!C48,'- 32 -'!G48,'- 32 -'!E48,'- 32 -'!C48)</f>
        <v>800762</v>
      </c>
      <c r="G48" s="352">
        <f>F48/'- 3 -'!E48</f>
        <v>0.10360210350196385</v>
      </c>
      <c r="H48" s="406">
        <f>F48/'- 7 -'!H48</f>
        <v>757.5799432355724</v>
      </c>
      <c r="I48" s="406">
        <f>SUM('- 34 -'!C48,'- 34 -'!E48)</f>
        <v>155683</v>
      </c>
      <c r="J48" s="352">
        <f>I48/'- 3 -'!E48</f>
        <v>0.020142172430130598</v>
      </c>
      <c r="K48" s="406">
        <f>I48/'- 7 -'!H48</f>
        <v>147.2876064333018</v>
      </c>
    </row>
    <row r="49" spans="1:11" ht="12.75">
      <c r="A49" s="11">
        <v>43</v>
      </c>
      <c r="B49" s="12" t="s">
        <v>154</v>
      </c>
      <c r="C49" s="405">
        <f>SUM('- 31 -'!E49,'- 31 -'!C49,'- 30 -'!G49,'- 30 -'!E49,'- 30 -'!C49)</f>
        <v>552166</v>
      </c>
      <c r="D49" s="351">
        <f>C49/'- 3 -'!E49</f>
        <v>0.0868397172266826</v>
      </c>
      <c r="E49" s="405">
        <f>C49/'- 7 -'!H49</f>
        <v>709.2691072575466</v>
      </c>
      <c r="F49" s="405">
        <f>SUM('- 33 -'!E49,'- 33 -'!C49,'- 32 -'!G49,'- 32 -'!E49,'- 32 -'!C49)</f>
        <v>786420</v>
      </c>
      <c r="G49" s="351">
        <f>F49/'- 3 -'!E49</f>
        <v>0.12368108579921207</v>
      </c>
      <c r="H49" s="405">
        <f>F49/'- 7 -'!H49</f>
        <v>1010.1734104046243</v>
      </c>
      <c r="I49" s="405">
        <f>SUM('- 34 -'!C49,'- 34 -'!E49)</f>
        <v>122920</v>
      </c>
      <c r="J49" s="351">
        <f>I49/'- 3 -'!E49</f>
        <v>0.019331755380635217</v>
      </c>
      <c r="K49" s="405">
        <f>I49/'- 7 -'!H49</f>
        <v>157.89338471419396</v>
      </c>
    </row>
    <row r="50" spans="1:11" ht="12.75">
      <c r="A50" s="13">
        <v>44</v>
      </c>
      <c r="B50" s="14" t="s">
        <v>155</v>
      </c>
      <c r="C50" s="406">
        <f>SUM('- 31 -'!E50,'- 31 -'!C50,'- 30 -'!G50,'- 30 -'!E50,'- 30 -'!C50)</f>
        <v>699424</v>
      </c>
      <c r="D50" s="352">
        <f>C50/'- 3 -'!E50</f>
        <v>0.07560479054602859</v>
      </c>
      <c r="E50" s="406">
        <f>C50/'- 7 -'!H50</f>
        <v>562.4640128669079</v>
      </c>
      <c r="F50" s="406">
        <f>SUM('- 33 -'!E50,'- 33 -'!C50,'- 32 -'!G50,'- 32 -'!E50,'- 32 -'!C50)</f>
        <v>860949</v>
      </c>
      <c r="G50" s="352">
        <f>F50/'- 3 -'!E50</f>
        <v>0.0930649631923022</v>
      </c>
      <c r="H50" s="406">
        <f>F50/'- 7 -'!H50</f>
        <v>692.3594692400483</v>
      </c>
      <c r="I50" s="406">
        <f>SUM('- 34 -'!C50,'- 34 -'!E50)</f>
        <v>170267</v>
      </c>
      <c r="J50" s="352">
        <f>I50/'- 3 -'!E50</f>
        <v>0.018405146051466134</v>
      </c>
      <c r="K50" s="406">
        <f>I50/'- 7 -'!H50</f>
        <v>136.92561318858063</v>
      </c>
    </row>
    <row r="51" spans="1:11" ht="12.75">
      <c r="A51" s="11">
        <v>45</v>
      </c>
      <c r="B51" s="12" t="s">
        <v>156</v>
      </c>
      <c r="C51" s="405">
        <f>SUM('- 31 -'!E51,'- 31 -'!C51,'- 30 -'!G51,'- 30 -'!E51,'- 30 -'!C51)</f>
        <v>347491</v>
      </c>
      <c r="D51" s="351">
        <f>C51/'- 3 -'!E51</f>
        <v>0.028814934997627578</v>
      </c>
      <c r="E51" s="405">
        <f>C51/'- 7 -'!H51</f>
        <v>184.43341648532456</v>
      </c>
      <c r="F51" s="405">
        <f>SUM('- 33 -'!E51,'- 33 -'!C51,'- 32 -'!G51,'- 32 -'!E51,'- 32 -'!C51)</f>
        <v>1448729</v>
      </c>
      <c r="G51" s="351">
        <f>F51/'- 3 -'!E51</f>
        <v>0.12013269973662052</v>
      </c>
      <c r="H51" s="405">
        <f>F51/'- 7 -'!H51</f>
        <v>768.9236240114644</v>
      </c>
      <c r="I51" s="405">
        <f>SUM('- 34 -'!C51,'- 34 -'!E51)</f>
        <v>222239</v>
      </c>
      <c r="J51" s="351">
        <f>I51/'- 3 -'!E51</f>
        <v>0.0184286854593004</v>
      </c>
      <c r="K51" s="405">
        <f>I51/'- 7 -'!H51</f>
        <v>117.95499177326045</v>
      </c>
    </row>
    <row r="52" spans="1:11" ht="12.75">
      <c r="A52" s="13">
        <v>46</v>
      </c>
      <c r="B52" s="14" t="s">
        <v>157</v>
      </c>
      <c r="C52" s="406">
        <f>SUM('- 31 -'!E52,'- 31 -'!C52,'- 30 -'!G52,'- 30 -'!E52,'- 30 -'!C52)</f>
        <v>175033</v>
      </c>
      <c r="D52" s="352">
        <f>C52/'- 3 -'!E52</f>
        <v>0.01600057472735618</v>
      </c>
      <c r="E52" s="406">
        <f>C52/'- 7 -'!H52</f>
        <v>121.77055795185751</v>
      </c>
      <c r="F52" s="406">
        <f>SUM('- 33 -'!E52,'- 33 -'!C52,'- 32 -'!G52,'- 32 -'!E52,'- 32 -'!C52)</f>
        <v>1499323</v>
      </c>
      <c r="G52" s="352">
        <f>F52/'- 3 -'!E52</f>
        <v>0.13706003840386582</v>
      </c>
      <c r="H52" s="406">
        <f>F52/'- 7 -'!H52</f>
        <v>1043.0798664254903</v>
      </c>
      <c r="I52" s="406">
        <f>SUM('- 34 -'!C52,'- 34 -'!E52)</f>
        <v>227025</v>
      </c>
      <c r="J52" s="352">
        <f>I52/'- 3 -'!E52</f>
        <v>0.020753403515211623</v>
      </c>
      <c r="K52" s="406">
        <f>I52/'- 7 -'!H52</f>
        <v>157.94142201196604</v>
      </c>
    </row>
    <row r="53" spans="1:11" ht="12.75">
      <c r="A53" s="11">
        <v>47</v>
      </c>
      <c r="B53" s="12" t="s">
        <v>158</v>
      </c>
      <c r="C53" s="405">
        <f>SUM('- 31 -'!E53,'- 31 -'!C53,'- 30 -'!G53,'- 30 -'!E53,'- 30 -'!C53)</f>
        <v>371273</v>
      </c>
      <c r="D53" s="351">
        <f>C53/'- 3 -'!E53</f>
        <v>0.040315287826264846</v>
      </c>
      <c r="E53" s="405">
        <f>C53/'- 7 -'!H53</f>
        <v>256.6698928447978</v>
      </c>
      <c r="F53" s="405">
        <f>SUM('- 33 -'!E53,'- 33 -'!C53,'- 32 -'!G53,'- 32 -'!E53,'- 32 -'!C53)</f>
        <v>978813</v>
      </c>
      <c r="G53" s="351">
        <f>F53/'- 3 -'!E53</f>
        <v>0.10628601547403063</v>
      </c>
      <c r="H53" s="405">
        <f>F53/'- 7 -'!H53</f>
        <v>676.6768060836501</v>
      </c>
      <c r="I53" s="405">
        <f>SUM('- 34 -'!C53,'- 34 -'!E53)</f>
        <v>173901</v>
      </c>
      <c r="J53" s="351">
        <f>I53/'- 3 -'!E53</f>
        <v>0.01888332539203035</v>
      </c>
      <c r="K53" s="405">
        <f>I53/'- 7 -'!H53</f>
        <v>120.22191496716212</v>
      </c>
    </row>
    <row r="54" spans="1:11" ht="12.75">
      <c r="A54" s="13">
        <v>48</v>
      </c>
      <c r="B54" s="14" t="s">
        <v>159</v>
      </c>
      <c r="C54" s="406">
        <f>SUM('- 31 -'!E54,'- 31 -'!C54,'- 30 -'!G54,'- 30 -'!E54,'- 30 -'!C54)</f>
        <v>5337298</v>
      </c>
      <c r="D54" s="352">
        <f>C54/'- 3 -'!E54</f>
        <v>0.08986212632966675</v>
      </c>
      <c r="E54" s="406">
        <f>C54/'- 7 -'!H54</f>
        <v>1020.9648602635958</v>
      </c>
      <c r="F54" s="406">
        <f>SUM('- 33 -'!E54,'- 33 -'!C54,'- 32 -'!G54,'- 32 -'!E54,'- 32 -'!C54)</f>
        <v>10788027</v>
      </c>
      <c r="G54" s="352">
        <f>F54/'- 3 -'!E54</f>
        <v>0.18163404874935893</v>
      </c>
      <c r="H54" s="406">
        <f>F54/'- 7 -'!H54</f>
        <v>2063.627790424087</v>
      </c>
      <c r="I54" s="406">
        <f>SUM('- 34 -'!C54,'- 34 -'!E54)</f>
        <v>975949</v>
      </c>
      <c r="J54" s="352">
        <f>I54/'- 3 -'!E54</f>
        <v>0.016431694900549295</v>
      </c>
      <c r="K54" s="406">
        <f>I54/'- 7 -'!H54</f>
        <v>186.6880272395126</v>
      </c>
    </row>
    <row r="55" spans="1:11" ht="12.75">
      <c r="A55" s="11">
        <v>49</v>
      </c>
      <c r="B55" s="12" t="s">
        <v>160</v>
      </c>
      <c r="C55" s="405">
        <f>SUM('- 31 -'!E55,'- 31 -'!C55,'- 30 -'!G55,'- 30 -'!E55,'- 30 -'!C55)</f>
        <v>2919486</v>
      </c>
      <c r="D55" s="351">
        <f>C55/'- 3 -'!E55</f>
        <v>0.08059654594592461</v>
      </c>
      <c r="E55" s="405">
        <f>C55/'- 7 -'!H55</f>
        <v>685.1966766804355</v>
      </c>
      <c r="F55" s="405">
        <f>SUM('- 33 -'!E55,'- 33 -'!C55,'- 32 -'!G55,'- 32 -'!E55,'- 32 -'!C55)</f>
        <v>3924382</v>
      </c>
      <c r="G55" s="351">
        <f>F55/'- 3 -'!E55</f>
        <v>0.1083381232766177</v>
      </c>
      <c r="H55" s="405">
        <f>F55/'- 7 -'!H55</f>
        <v>921.0434660157716</v>
      </c>
      <c r="I55" s="405">
        <f>SUM('- 34 -'!C55,'- 34 -'!E55)</f>
        <v>598037</v>
      </c>
      <c r="J55" s="351">
        <f>I55/'- 3 -'!E55</f>
        <v>0.016509658394615667</v>
      </c>
      <c r="K55" s="405">
        <f>I55/'- 7 -'!H55</f>
        <v>140.3579140067593</v>
      </c>
    </row>
    <row r="56" spans="1:11" ht="12.75">
      <c r="A56" s="13">
        <v>50</v>
      </c>
      <c r="B56" s="14" t="s">
        <v>343</v>
      </c>
      <c r="C56" s="406">
        <f>SUM('- 31 -'!E56,'- 31 -'!C56,'- 30 -'!G56,'- 30 -'!E56,'- 30 -'!C56)</f>
        <v>1299013</v>
      </c>
      <c r="D56" s="352">
        <f>C56/'- 3 -'!E56</f>
        <v>0.090120129832739</v>
      </c>
      <c r="E56" s="406">
        <f>C56/'- 7 -'!H56</f>
        <v>737.1122964308007</v>
      </c>
      <c r="F56" s="406">
        <f>SUM('- 33 -'!E56,'- 33 -'!C56,'- 32 -'!G56,'- 32 -'!E56,'- 32 -'!C56)</f>
        <v>1828711</v>
      </c>
      <c r="G56" s="352">
        <f>F56/'- 3 -'!E56</f>
        <v>0.12686837833536535</v>
      </c>
      <c r="H56" s="406">
        <f>F56/'- 7 -'!H56</f>
        <v>1037.6842762299268</v>
      </c>
      <c r="I56" s="406">
        <f>SUM('- 34 -'!C56,'- 34 -'!E56)</f>
        <v>245306</v>
      </c>
      <c r="J56" s="352">
        <f>I56/'- 3 -'!E56</f>
        <v>0.01701831203286639</v>
      </c>
      <c r="K56" s="406">
        <f>I56/'- 7 -'!H56</f>
        <v>139.19650456789424</v>
      </c>
    </row>
    <row r="57" spans="1:11" ht="12.75">
      <c r="A57" s="11">
        <v>2264</v>
      </c>
      <c r="B57" s="12" t="s">
        <v>161</v>
      </c>
      <c r="C57" s="405">
        <f>SUM('- 31 -'!E57,'- 31 -'!C57,'- 30 -'!G57,'- 30 -'!E57,'- 30 -'!C57)</f>
        <v>70529</v>
      </c>
      <c r="D57" s="351">
        <f>C57/'- 3 -'!E57</f>
        <v>0.033501635720487206</v>
      </c>
      <c r="E57" s="405">
        <f>C57/'- 7 -'!H57</f>
        <v>358.92620865139946</v>
      </c>
      <c r="F57" s="405">
        <f>SUM('- 33 -'!E57,'- 33 -'!C57,'- 32 -'!G57,'- 32 -'!E57,'- 32 -'!C57)</f>
        <v>318666</v>
      </c>
      <c r="G57" s="351">
        <f>F57/'- 3 -'!E57</f>
        <v>0.15136797981688066</v>
      </c>
      <c r="H57" s="405">
        <f>F57/'- 7 -'!H57</f>
        <v>1621.7099236641222</v>
      </c>
      <c r="I57" s="405">
        <f>SUM('- 34 -'!C57,'- 34 -'!E57)</f>
        <v>19610.489999999998</v>
      </c>
      <c r="J57" s="351">
        <f>I57/'- 3 -'!E57</f>
        <v>0.009315083047827945</v>
      </c>
      <c r="K57" s="405">
        <f>I57/'- 7 -'!H57</f>
        <v>99.79893129770991</v>
      </c>
    </row>
    <row r="58" spans="1:11" ht="12.75">
      <c r="A58" s="13">
        <v>2309</v>
      </c>
      <c r="B58" s="14" t="s">
        <v>162</v>
      </c>
      <c r="C58" s="406">
        <f>SUM('- 31 -'!E58,'- 31 -'!C58,'- 30 -'!G58,'- 30 -'!E58,'- 30 -'!C58)</f>
        <v>49366</v>
      </c>
      <c r="D58" s="352">
        <f>C58/'- 3 -'!E58</f>
        <v>0.02179346928756908</v>
      </c>
      <c r="E58" s="406">
        <f>C58/'- 7 -'!H58</f>
        <v>189.35941695435366</v>
      </c>
      <c r="F58" s="406">
        <f>SUM('- 33 -'!E58,'- 33 -'!C58,'- 32 -'!G58,'- 32 -'!E58,'- 32 -'!C58)</f>
        <v>338832</v>
      </c>
      <c r="G58" s="352">
        <f>F58/'- 3 -'!E58</f>
        <v>0.1495832108261882</v>
      </c>
      <c r="H58" s="406">
        <f>F58/'- 7 -'!H58</f>
        <v>1299.7008055235904</v>
      </c>
      <c r="I58" s="406">
        <f>SUM('- 34 -'!C58,'- 34 -'!E58)</f>
        <v>21499</v>
      </c>
      <c r="J58" s="352">
        <f>I58/'- 3 -'!E58</f>
        <v>0.009491103111725633</v>
      </c>
      <c r="K58" s="406">
        <f>I58/'- 7 -'!H58</f>
        <v>82.46643651706943</v>
      </c>
    </row>
    <row r="59" spans="1:11" ht="12.75">
      <c r="A59" s="11">
        <v>2312</v>
      </c>
      <c r="B59" s="12" t="s">
        <v>163</v>
      </c>
      <c r="C59" s="405">
        <f>SUM('- 31 -'!E59,'- 31 -'!C59,'- 30 -'!G59,'- 30 -'!E59,'- 30 -'!C59)</f>
        <v>4429</v>
      </c>
      <c r="D59" s="351">
        <f>C59/'- 3 -'!E59</f>
        <v>0.002198677219390655</v>
      </c>
      <c r="E59" s="405">
        <f>C59/'- 7 -'!H59</f>
        <v>25.45402298850575</v>
      </c>
      <c r="F59" s="405">
        <f>SUM('- 33 -'!E59,'- 33 -'!C59,'- 32 -'!G59,'- 32 -'!E59,'- 32 -'!C59)</f>
        <v>270958</v>
      </c>
      <c r="G59" s="351">
        <f>F59/'- 3 -'!E59</f>
        <v>0.13451099164860084</v>
      </c>
      <c r="H59" s="405">
        <f>F59/'- 7 -'!H59</f>
        <v>1557.2298850574712</v>
      </c>
      <c r="I59" s="405">
        <f>SUM('- 34 -'!C59,'- 34 -'!E59)</f>
        <v>13849</v>
      </c>
      <c r="J59" s="351">
        <f>I59/'- 3 -'!E59</f>
        <v>0.006875023890571502</v>
      </c>
      <c r="K59" s="405">
        <f>I59/'- 7 -'!H59</f>
        <v>79.5919540229885</v>
      </c>
    </row>
    <row r="60" spans="1:11" ht="12.75">
      <c r="A60" s="13">
        <v>2355</v>
      </c>
      <c r="B60" s="14" t="s">
        <v>164</v>
      </c>
      <c r="C60" s="406">
        <f>SUM('- 31 -'!E60,'- 31 -'!C60,'- 30 -'!G60,'- 30 -'!E60,'- 30 -'!C60)</f>
        <v>98545</v>
      </c>
      <c r="D60" s="352">
        <f>C60/'- 3 -'!E60</f>
        <v>0.003961591344980073</v>
      </c>
      <c r="E60" s="406">
        <f>C60/'- 7 -'!H60</f>
        <v>29.670610905368378</v>
      </c>
      <c r="F60" s="406">
        <f>SUM('- 33 -'!E60,'- 33 -'!C60,'- 32 -'!G60,'- 32 -'!E60,'- 32 -'!C60)</f>
        <v>3285613</v>
      </c>
      <c r="G60" s="352">
        <f>F60/'- 3 -'!E60</f>
        <v>0.13208438808416473</v>
      </c>
      <c r="H60" s="406">
        <f>F60/'- 7 -'!H60</f>
        <v>989.2551109505314</v>
      </c>
      <c r="I60" s="406">
        <f>SUM('- 34 -'!C60,'- 34 -'!E60)</f>
        <v>530901</v>
      </c>
      <c r="J60" s="352">
        <f>I60/'- 3 -'!E60</f>
        <v>0.021342663825067387</v>
      </c>
      <c r="K60" s="406">
        <f>I60/'- 7 -'!H60</f>
        <v>159.84734892963598</v>
      </c>
    </row>
    <row r="61" spans="1:11" ht="12.75">
      <c r="A61" s="11">
        <v>2439</v>
      </c>
      <c r="B61" s="12" t="s">
        <v>165</v>
      </c>
      <c r="C61" s="405">
        <f>SUM('- 31 -'!E61,'- 31 -'!C61,'- 30 -'!G61,'- 30 -'!E61,'- 30 -'!C61)</f>
        <v>112951.09999999999</v>
      </c>
      <c r="D61" s="351">
        <f>C61/'- 3 -'!E61</f>
        <v>0.08084206623724284</v>
      </c>
      <c r="E61" s="405">
        <f>C61/'- 7 -'!H61</f>
        <v>721.732268370607</v>
      </c>
      <c r="F61" s="405">
        <f>SUM('- 33 -'!E61,'- 33 -'!C61,'- 32 -'!G61,'- 32 -'!E61,'- 32 -'!C61)</f>
        <v>164949.32</v>
      </c>
      <c r="G61" s="351">
        <f>F61/'- 3 -'!E61</f>
        <v>0.11805855678455693</v>
      </c>
      <c r="H61" s="405">
        <f>F61/'- 7 -'!H61</f>
        <v>1053.9892651757189</v>
      </c>
      <c r="I61" s="405">
        <f>SUM('- 34 -'!C61,'- 34 -'!E61)</f>
        <v>109.8</v>
      </c>
      <c r="J61" s="351">
        <f>I61/'- 3 -'!E61</f>
        <v>7.858674127874155E-05</v>
      </c>
      <c r="K61" s="405">
        <f>I61/'- 7 -'!H61</f>
        <v>0.7015974440894569</v>
      </c>
    </row>
    <row r="62" spans="1:11" ht="12.75">
      <c r="A62" s="13">
        <v>2460</v>
      </c>
      <c r="B62" s="14" t="s">
        <v>166</v>
      </c>
      <c r="C62" s="406">
        <f>SUM('- 31 -'!E62,'- 31 -'!C62,'- 30 -'!G62,'- 30 -'!E62,'- 30 -'!C62)</f>
        <v>15109</v>
      </c>
      <c r="D62" s="352">
        <f>C62/'- 3 -'!E62</f>
        <v>0.004572227823983905</v>
      </c>
      <c r="E62" s="406">
        <f>C62/'- 7 -'!H62</f>
        <v>55.50698016164585</v>
      </c>
      <c r="F62" s="406">
        <f>SUM('- 33 -'!E62,'- 33 -'!C62,'- 32 -'!G62,'- 32 -'!E62,'- 32 -'!C62)</f>
        <v>565930</v>
      </c>
      <c r="G62" s="352">
        <f>F62/'- 3 -'!E62</f>
        <v>0.1712595732627713</v>
      </c>
      <c r="H62" s="406">
        <f>F62/'- 7 -'!H62</f>
        <v>2079.096252755327</v>
      </c>
      <c r="I62" s="406">
        <f>SUM('- 34 -'!C62,'- 34 -'!E62)</f>
        <v>47610</v>
      </c>
      <c r="J62" s="352">
        <f>I62/'- 3 -'!E62</f>
        <v>0.014407556204902625</v>
      </c>
      <c r="K62" s="406">
        <f>I62/'- 7 -'!H62</f>
        <v>174.9081557678178</v>
      </c>
    </row>
    <row r="63" spans="1:11" ht="12.75">
      <c r="A63" s="11">
        <v>3000</v>
      </c>
      <c r="B63" s="12" t="s">
        <v>366</v>
      </c>
      <c r="C63" s="405">
        <f>SUM('- 31 -'!E63,'- 31 -'!C63,'- 30 -'!G63,'- 30 -'!E63,'- 30 -'!C63)</f>
        <v>0</v>
      </c>
      <c r="D63" s="351">
        <f>C63/'- 3 -'!E63</f>
        <v>0</v>
      </c>
      <c r="E63" s="405">
        <f>C63/'- 7 -'!H63</f>
        <v>0</v>
      </c>
      <c r="F63" s="405">
        <f>SUM('- 33 -'!E63,'- 33 -'!C63,'- 32 -'!G63,'- 32 -'!E63,'- 32 -'!C63)</f>
        <v>582950</v>
      </c>
      <c r="G63" s="351">
        <f>F63/'- 3 -'!E63</f>
        <v>0.10108568049676689</v>
      </c>
      <c r="H63" s="405">
        <f>F63/'- 7 -'!H63</f>
        <v>868.2603515043194</v>
      </c>
      <c r="I63" s="405">
        <f>SUM('- 34 -'!C63,'- 34 -'!E63)</f>
        <v>84190</v>
      </c>
      <c r="J63" s="351">
        <f>I63/'- 3 -'!E63</f>
        <v>0.0145988565760748</v>
      </c>
      <c r="K63" s="405">
        <f>I63/'- 7 -'!H63</f>
        <v>125.39469764670838</v>
      </c>
    </row>
    <row r="64" spans="1:11" ht="4.5" customHeight="1">
      <c r="A64" s="15"/>
      <c r="B64" s="15"/>
      <c r="C64" s="412"/>
      <c r="D64" s="194"/>
      <c r="E64" s="412"/>
      <c r="F64" s="412"/>
      <c r="G64" s="194"/>
      <c r="H64" s="412"/>
      <c r="I64" s="412"/>
      <c r="J64" s="194"/>
      <c r="K64" s="412"/>
    </row>
    <row r="65" spans="1:11" ht="12.75">
      <c r="A65" s="17"/>
      <c r="B65" s="18" t="s">
        <v>167</v>
      </c>
      <c r="C65" s="407">
        <f>SUM(C11:C63)</f>
        <v>51057045.080000006</v>
      </c>
      <c r="D65" s="100">
        <f>C65/'- 3 -'!E65</f>
        <v>0.03934845003216496</v>
      </c>
      <c r="E65" s="407">
        <f>C65/'- 7 -'!H65</f>
        <v>281.72281252005376</v>
      </c>
      <c r="F65" s="407">
        <f>SUM(F11:F63)</f>
        <v>155384233.98000002</v>
      </c>
      <c r="G65" s="100">
        <f>F65/'- 3 -'!E65</f>
        <v>0.11975093264735913</v>
      </c>
      <c r="H65" s="407">
        <f>F65/'- 7 -'!H65</f>
        <v>857.3798845884895</v>
      </c>
      <c r="I65" s="407">
        <f>SUM(I11:I63)</f>
        <v>23702445.47</v>
      </c>
      <c r="J65" s="100">
        <f>I65/'- 3 -'!E65</f>
        <v>0.018266910859315432</v>
      </c>
      <c r="K65" s="407">
        <f>I65/'- 7 -'!H65</f>
        <v>130.7854692912363</v>
      </c>
    </row>
    <row r="66" spans="1:11" ht="4.5" customHeight="1">
      <c r="A66" s="15"/>
      <c r="B66" s="15"/>
      <c r="C66" s="412"/>
      <c r="D66" s="194"/>
      <c r="E66" s="412"/>
      <c r="F66" s="412"/>
      <c r="G66" s="194"/>
      <c r="H66" s="412"/>
      <c r="I66" s="412"/>
      <c r="J66" s="194"/>
      <c r="K66" s="412"/>
    </row>
    <row r="67" spans="1:11" ht="12.75">
      <c r="A67" s="13">
        <v>2155</v>
      </c>
      <c r="B67" s="14" t="s">
        <v>168</v>
      </c>
      <c r="C67" s="406">
        <f>SUM('- 31 -'!E67,'- 31 -'!C67,'- 30 -'!G67,'- 30 -'!E67,'- 30 -'!C67)</f>
        <v>59784.47</v>
      </c>
      <c r="D67" s="352">
        <f>C67/'- 3 -'!E67</f>
        <v>0.049962056162462055</v>
      </c>
      <c r="E67" s="406">
        <f>C67/'- 7 -'!H67</f>
        <v>409.4826712328767</v>
      </c>
      <c r="F67" s="406">
        <f>SUM('- 33 -'!E67,'- 33 -'!C67,'- 32 -'!G67,'- 32 -'!E67,'- 32 -'!C67)</f>
        <v>145385.19</v>
      </c>
      <c r="G67" s="352">
        <f>F67/'- 3 -'!E67</f>
        <v>0.1214988278389056</v>
      </c>
      <c r="H67" s="406">
        <f>F67/'- 7 -'!H67</f>
        <v>995.7889726027397</v>
      </c>
      <c r="I67" s="406">
        <f>SUM('- 34 -'!C67,'- 34 -'!E67)</f>
        <v>0</v>
      </c>
      <c r="J67" s="352">
        <f>I67/'- 3 -'!E67</f>
        <v>0</v>
      </c>
      <c r="K67" s="406">
        <f>I67/'- 7 -'!H67</f>
        <v>0</v>
      </c>
    </row>
    <row r="68" spans="1:11" ht="12.75">
      <c r="A68" s="11">
        <v>2408</v>
      </c>
      <c r="B68" s="12" t="s">
        <v>170</v>
      </c>
      <c r="C68" s="405">
        <f>SUM('- 31 -'!E68,'- 31 -'!C68,'- 30 -'!G68,'- 30 -'!E68,'- 30 -'!C68)</f>
        <v>28762</v>
      </c>
      <c r="D68" s="351">
        <f>C68/'- 3 -'!E68</f>
        <v>0.013415587492840232</v>
      </c>
      <c r="E68" s="405">
        <f>C68/'- 7 -'!H68</f>
        <v>111.48062015503876</v>
      </c>
      <c r="F68" s="405">
        <f>SUM('- 33 -'!E68,'- 33 -'!C68,'- 32 -'!G68,'- 32 -'!E68,'- 32 -'!C68)</f>
        <v>266866</v>
      </c>
      <c r="G68" s="351">
        <f>F68/'- 3 -'!E68</f>
        <v>0.12447549446715461</v>
      </c>
      <c r="H68" s="405">
        <f>F68/'- 7 -'!H68</f>
        <v>1034.3643410852712</v>
      </c>
      <c r="I68" s="405">
        <f>SUM('- 34 -'!C68,'- 34 -'!E68)</f>
        <v>23079</v>
      </c>
      <c r="J68" s="351">
        <f>I68/'- 3 -'!E68</f>
        <v>0.010764840544720801</v>
      </c>
      <c r="K68" s="405">
        <f>I68/'- 7 -'!H68</f>
        <v>89.45348837209302</v>
      </c>
    </row>
    <row r="69" ht="6.75" customHeight="1"/>
    <row r="70" spans="1:11" ht="12" customHeight="1">
      <c r="A70" s="4"/>
      <c r="B70" s="4"/>
      <c r="C70" s="15"/>
      <c r="D70" s="15"/>
      <c r="E70" s="15"/>
      <c r="F70" s="15"/>
      <c r="G70" s="15"/>
      <c r="H70" s="15"/>
      <c r="I70" s="15"/>
      <c r="J70" s="15"/>
      <c r="K70" s="15"/>
    </row>
    <row r="71" spans="1:11" ht="12" customHeight="1">
      <c r="A71" s="4"/>
      <c r="B71" s="4"/>
      <c r="C71" s="148"/>
      <c r="D71" s="148"/>
      <c r="F71" s="148"/>
      <c r="G71" s="148"/>
      <c r="I71" s="148"/>
      <c r="J71" s="15"/>
      <c r="K71" s="15"/>
    </row>
    <row r="72" spans="1:11" ht="12" customHeight="1">
      <c r="A72" s="4"/>
      <c r="B72" s="4"/>
      <c r="C72" s="15"/>
      <c r="D72" s="15"/>
      <c r="E72" s="15"/>
      <c r="F72" s="15"/>
      <c r="G72" s="15"/>
      <c r="H72" s="15"/>
      <c r="I72" s="15"/>
      <c r="J72" s="15"/>
      <c r="K72" s="15"/>
    </row>
    <row r="73" spans="1:11" ht="12" customHeight="1">
      <c r="A73" s="4"/>
      <c r="B73" s="4"/>
      <c r="C73" s="15"/>
      <c r="D73" s="15"/>
      <c r="E73" s="15"/>
      <c r="F73" s="15"/>
      <c r="G73" s="15"/>
      <c r="H73" s="15"/>
      <c r="I73" s="15"/>
      <c r="J73" s="15"/>
      <c r="K73" s="15"/>
    </row>
    <row r="74" spans="1:11" ht="12" customHeight="1">
      <c r="A74" s="4"/>
      <c r="B74" s="4"/>
      <c r="C74" s="15"/>
      <c r="D74" s="15"/>
      <c r="E74" s="15"/>
      <c r="F74" s="15"/>
      <c r="G74" s="15"/>
      <c r="H74" s="15"/>
      <c r="I74" s="15"/>
      <c r="J74" s="15"/>
      <c r="K74" s="15"/>
    </row>
    <row r="75" spans="3:11" ht="12" customHeight="1">
      <c r="C75" s="15"/>
      <c r="D75" s="15"/>
      <c r="E75" s="15"/>
      <c r="F75" s="15"/>
      <c r="G75" s="15"/>
      <c r="H75" s="15"/>
      <c r="I75" s="15"/>
      <c r="J75" s="15"/>
      <c r="K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20.83203125" style="79" customWidth="1"/>
    <col min="4" max="4" width="12.83203125" style="79" customWidth="1"/>
    <col min="5" max="5" width="15.33203125" style="79" customWidth="1"/>
    <col min="6" max="6" width="20.83203125" style="79" customWidth="1"/>
    <col min="7" max="7" width="12.83203125" style="79" customWidth="1"/>
    <col min="8" max="8" width="15.33203125" style="79" customWidth="1"/>
    <col min="9" max="16384" width="15.83203125" style="79" customWidth="1"/>
  </cols>
  <sheetData>
    <row r="1" spans="1:8" ht="6.75" customHeight="1">
      <c r="A1" s="15"/>
      <c r="B1" s="19"/>
      <c r="C1" s="20"/>
      <c r="D1" s="20"/>
      <c r="E1" s="20"/>
      <c r="F1" s="20"/>
      <c r="G1" s="20"/>
      <c r="H1" s="20"/>
    </row>
    <row r="2" spans="1:8" ht="12.75">
      <c r="A2" s="6"/>
      <c r="B2" s="21"/>
      <c r="C2" s="22" t="s">
        <v>0</v>
      </c>
      <c r="D2" s="23"/>
      <c r="E2" s="22"/>
      <c r="F2" s="22"/>
      <c r="G2" s="22"/>
      <c r="H2" s="24" t="s">
        <v>423</v>
      </c>
    </row>
    <row r="3" spans="1:8" ht="12.75">
      <c r="A3" s="7"/>
      <c r="B3" s="25"/>
      <c r="C3" s="5" t="str">
        <f>YEAR</f>
        <v>OPERATING FUND ACTUAL 2001/2002</v>
      </c>
      <c r="D3" s="26"/>
      <c r="E3" s="5"/>
      <c r="F3" s="26"/>
      <c r="G3" s="26"/>
      <c r="H3" s="27"/>
    </row>
    <row r="4" spans="1:8" ht="12.75">
      <c r="A4" s="8"/>
      <c r="B4" s="15"/>
      <c r="C4" s="20"/>
      <c r="D4" s="20"/>
      <c r="E4" s="20"/>
      <c r="F4" s="20"/>
      <c r="G4" s="20"/>
      <c r="H4" s="20"/>
    </row>
    <row r="5" spans="1:8" ht="16.5">
      <c r="A5" s="8"/>
      <c r="B5" s="15"/>
      <c r="C5" s="327" t="s">
        <v>14</v>
      </c>
      <c r="D5" s="28"/>
      <c r="E5" s="29"/>
      <c r="F5" s="29"/>
      <c r="G5" s="29"/>
      <c r="H5" s="30"/>
    </row>
    <row r="6" spans="1:8" ht="12.75">
      <c r="A6" s="8"/>
      <c r="B6" s="15"/>
      <c r="C6" s="31"/>
      <c r="D6" s="32"/>
      <c r="E6" s="33"/>
      <c r="F6" s="372" t="s">
        <v>352</v>
      </c>
      <c r="G6" s="373"/>
      <c r="H6" s="374"/>
    </row>
    <row r="7" spans="1:8" ht="16.5">
      <c r="A7" s="15"/>
      <c r="B7" s="15"/>
      <c r="C7" s="36" t="s">
        <v>38</v>
      </c>
      <c r="D7" s="37"/>
      <c r="E7" s="38"/>
      <c r="F7" s="36" t="s">
        <v>403</v>
      </c>
      <c r="G7" s="37"/>
      <c r="H7" s="38"/>
    </row>
    <row r="8" spans="1:8" ht="12.75">
      <c r="A8" s="42"/>
      <c r="B8" s="43"/>
      <c r="C8" s="44"/>
      <c r="D8" s="45"/>
      <c r="E8" s="46" t="s">
        <v>76</v>
      </c>
      <c r="F8" s="92"/>
      <c r="G8" s="45"/>
      <c r="H8" s="46" t="s">
        <v>76</v>
      </c>
    </row>
    <row r="9" spans="1:8" ht="12.75">
      <c r="A9" s="49" t="s">
        <v>101</v>
      </c>
      <c r="B9" s="50" t="s">
        <v>102</v>
      </c>
      <c r="C9" s="51" t="s">
        <v>103</v>
      </c>
      <c r="D9" s="51" t="s">
        <v>104</v>
      </c>
      <c r="E9" s="51" t="s">
        <v>105</v>
      </c>
      <c r="F9" s="93" t="s">
        <v>103</v>
      </c>
      <c r="G9" s="51" t="s">
        <v>104</v>
      </c>
      <c r="H9" s="51" t="s">
        <v>105</v>
      </c>
    </row>
    <row r="10" spans="1:8" ht="4.5" customHeight="1">
      <c r="A10" s="74"/>
      <c r="B10" s="74"/>
      <c r="C10" s="87"/>
      <c r="D10" s="87"/>
      <c r="E10" s="87"/>
      <c r="F10" s="87"/>
      <c r="G10" s="87"/>
      <c r="H10" s="87"/>
    </row>
    <row r="11" spans="1:8" ht="12.75">
      <c r="A11" s="11">
        <v>1</v>
      </c>
      <c r="B11" s="12" t="s">
        <v>116</v>
      </c>
      <c r="C11" s="405">
        <v>18033460</v>
      </c>
      <c r="D11" s="351">
        <f>C11/'- 3 -'!E11</f>
        <v>0.0748172076053834</v>
      </c>
      <c r="E11" s="405">
        <f>C11/'- 7 -'!D11</f>
        <v>607.4060351709202</v>
      </c>
      <c r="F11" s="405">
        <v>3819896</v>
      </c>
      <c r="G11" s="351">
        <f>F11/'- 3 -'!E11</f>
        <v>0.015847982143358714</v>
      </c>
      <c r="H11" s="405">
        <f>IF('- 7 -'!C11=0,"",F11/'- 7 -'!C11)</f>
        <v>5499.418370285056</v>
      </c>
    </row>
    <row r="12" spans="1:8" ht="12.75">
      <c r="A12" s="13">
        <v>2</v>
      </c>
      <c r="B12" s="14" t="s">
        <v>117</v>
      </c>
      <c r="C12" s="406">
        <v>2478191</v>
      </c>
      <c r="D12" s="352">
        <f>C12/'- 3 -'!E12</f>
        <v>0.041240232867210395</v>
      </c>
      <c r="E12" s="406">
        <f>C12/'- 7 -'!D12</f>
        <v>274.07947692236235</v>
      </c>
      <c r="F12" s="406">
        <v>3233461</v>
      </c>
      <c r="G12" s="352">
        <f>F12/'- 3 -'!E12</f>
        <v>0.05380888099708335</v>
      </c>
      <c r="H12" s="406">
        <f>IF('- 7 -'!C12=0,"",F12/'- 7 -'!C12)</f>
        <v>4021.717661691542</v>
      </c>
    </row>
    <row r="13" spans="1:8" ht="12.75">
      <c r="A13" s="11">
        <v>3</v>
      </c>
      <c r="B13" s="12" t="s">
        <v>118</v>
      </c>
      <c r="C13" s="405">
        <v>3086658</v>
      </c>
      <c r="D13" s="351">
        <f>C13/'- 3 -'!E13</f>
        <v>0.07352616935522291</v>
      </c>
      <c r="E13" s="405">
        <f>C13/'- 7 -'!D13</f>
        <v>527.318356538823</v>
      </c>
      <c r="F13" s="405">
        <v>0</v>
      </c>
      <c r="G13" s="351">
        <f>F13/'- 3 -'!E13</f>
        <v>0</v>
      </c>
      <c r="H13" s="405">
        <f>IF('- 7 -'!C13=0,"",F13/'- 7 -'!C13)</f>
      </c>
    </row>
    <row r="14" spans="1:8" ht="12.75">
      <c r="A14" s="13">
        <v>4</v>
      </c>
      <c r="B14" s="14" t="s">
        <v>119</v>
      </c>
      <c r="C14" s="406">
        <v>3146464.53</v>
      </c>
      <c r="D14" s="352">
        <f>C14/'- 3 -'!E14</f>
        <v>0.07569868429201852</v>
      </c>
      <c r="E14" s="406">
        <f>C14/'- 7 -'!D14</f>
        <v>541.0200711853914</v>
      </c>
      <c r="F14" s="406">
        <v>834254</v>
      </c>
      <c r="G14" s="352">
        <f>F14/'- 3 -'!E14</f>
        <v>0.02007075864457739</v>
      </c>
      <c r="H14" s="406">
        <f>IF('- 7 -'!C14=0,"",F14/'- 7 -'!C14)</f>
        <v>4740.079545454545</v>
      </c>
    </row>
    <row r="15" spans="1:8" ht="12.75">
      <c r="A15" s="11">
        <v>5</v>
      </c>
      <c r="B15" s="12" t="s">
        <v>120</v>
      </c>
      <c r="C15" s="405">
        <v>3701957</v>
      </c>
      <c r="D15" s="351">
        <f>C15/'- 3 -'!E15</f>
        <v>0.07365953411773357</v>
      </c>
      <c r="E15" s="405">
        <f>C15/'- 7 -'!D15</f>
        <v>516.268792011826</v>
      </c>
      <c r="F15" s="405">
        <v>0</v>
      </c>
      <c r="G15" s="351">
        <f>F15/'- 3 -'!E15</f>
        <v>0</v>
      </c>
      <c r="H15" s="405">
        <f>IF('- 7 -'!C15=0,"",F15/'- 7 -'!C15)</f>
      </c>
    </row>
    <row r="16" spans="1:8" ht="12.75">
      <c r="A16" s="13">
        <v>6</v>
      </c>
      <c r="B16" s="14" t="s">
        <v>121</v>
      </c>
      <c r="C16" s="406">
        <v>3976394</v>
      </c>
      <c r="D16" s="352">
        <f>C16/'- 3 -'!E16</f>
        <v>0.06865771935957743</v>
      </c>
      <c r="E16" s="406">
        <f>C16/'- 7 -'!D16</f>
        <v>456.58445286485244</v>
      </c>
      <c r="F16" s="406">
        <v>0</v>
      </c>
      <c r="G16" s="352">
        <f>F16/'- 3 -'!E16</f>
        <v>0</v>
      </c>
      <c r="H16" s="406">
        <f>IF('- 7 -'!C16=0,"",F16/'- 7 -'!C16)</f>
      </c>
    </row>
    <row r="17" spans="1:8" ht="12.75">
      <c r="A17" s="11">
        <v>9</v>
      </c>
      <c r="B17" s="12" t="s">
        <v>122</v>
      </c>
      <c r="C17" s="405">
        <v>5522710</v>
      </c>
      <c r="D17" s="351">
        <f>C17/'- 3 -'!E17</f>
        <v>0.067745290142566</v>
      </c>
      <c r="E17" s="405">
        <f>C17/'- 7 -'!D17</f>
        <v>446.3264827820296</v>
      </c>
      <c r="F17" s="405">
        <v>1858863</v>
      </c>
      <c r="G17" s="351">
        <f>F17/'- 3 -'!E17</f>
        <v>0.0228020687796898</v>
      </c>
      <c r="H17" s="405">
        <f>IF('- 7 -'!C17=0,"",F17/'- 7 -'!C17)</f>
        <v>7826.791578947368</v>
      </c>
    </row>
    <row r="18" spans="1:8" ht="12.75">
      <c r="A18" s="13">
        <v>10</v>
      </c>
      <c r="B18" s="14" t="s">
        <v>123</v>
      </c>
      <c r="C18" s="406">
        <v>4494422.35</v>
      </c>
      <c r="D18" s="352">
        <f>C18/'- 3 -'!E18</f>
        <v>0.07500578483244098</v>
      </c>
      <c r="E18" s="406">
        <f>C18/'- 7 -'!D18</f>
        <v>526.988608782318</v>
      </c>
      <c r="F18" s="406">
        <v>437265.05</v>
      </c>
      <c r="G18" s="352">
        <f>F18/'- 3 -'!E18</f>
        <v>0.007297357858467963</v>
      </c>
      <c r="H18" s="406">
        <f>IF('- 7 -'!C18=0,"",F18/'- 7 -'!C18)</f>
        <v>3613.760743801653</v>
      </c>
    </row>
    <row r="19" spans="1:8" ht="12.75">
      <c r="A19" s="11">
        <v>11</v>
      </c>
      <c r="B19" s="12" t="s">
        <v>124</v>
      </c>
      <c r="C19" s="405">
        <v>2205377</v>
      </c>
      <c r="D19" s="351">
        <f>C19/'- 3 -'!E19</f>
        <v>0.06821866838455524</v>
      </c>
      <c r="E19" s="405">
        <f>C19/'- 7 -'!D19</f>
        <v>469.4788717402874</v>
      </c>
      <c r="F19" s="405">
        <v>1215635</v>
      </c>
      <c r="G19" s="351">
        <f>F19/'- 3 -'!E19</f>
        <v>0.037603095045272907</v>
      </c>
      <c r="H19" s="405">
        <f>IF('- 7 -'!C19=0,"",F19/'- 7 -'!C19)</f>
        <v>4570.056390977444</v>
      </c>
    </row>
    <row r="20" spans="1:8" ht="12.75">
      <c r="A20" s="13">
        <v>12</v>
      </c>
      <c r="B20" s="14" t="s">
        <v>125</v>
      </c>
      <c r="C20" s="406">
        <v>3677404</v>
      </c>
      <c r="D20" s="352">
        <f>C20/'- 3 -'!E20</f>
        <v>0.07099457824721847</v>
      </c>
      <c r="E20" s="406">
        <f>C20/'- 7 -'!D20</f>
        <v>478.2059817945384</v>
      </c>
      <c r="F20" s="406">
        <v>553676</v>
      </c>
      <c r="G20" s="352">
        <f>F20/'- 3 -'!E20</f>
        <v>0.010689060572514453</v>
      </c>
      <c r="H20" s="406">
        <f>IF('- 7 -'!C20=0,"",F20/'- 7 -'!C20)</f>
        <v>8300.989505247377</v>
      </c>
    </row>
    <row r="21" spans="1:8" ht="12.75">
      <c r="A21" s="11">
        <v>13</v>
      </c>
      <c r="B21" s="12" t="s">
        <v>126</v>
      </c>
      <c r="C21" s="405">
        <v>1120048</v>
      </c>
      <c r="D21" s="351">
        <f>C21/'- 3 -'!E21</f>
        <v>0.056658640201335944</v>
      </c>
      <c r="E21" s="405">
        <f>C21/'- 7 -'!D21</f>
        <v>421.41921890285204</v>
      </c>
      <c r="F21" s="405">
        <v>0</v>
      </c>
      <c r="G21" s="351">
        <f>F21/'- 3 -'!E21</f>
        <v>0</v>
      </c>
      <c r="H21" s="405">
        <f>IF('- 7 -'!C21=0,"",F21/'- 7 -'!C21)</f>
      </c>
    </row>
    <row r="22" spans="1:8" ht="12.75">
      <c r="A22" s="13">
        <v>14</v>
      </c>
      <c r="B22" s="14" t="s">
        <v>127</v>
      </c>
      <c r="C22" s="406">
        <v>1949342</v>
      </c>
      <c r="D22" s="352">
        <f>C22/'- 3 -'!E22</f>
        <v>0.08477138030753323</v>
      </c>
      <c r="E22" s="406">
        <f>C22/'- 7 -'!D22</f>
        <v>554.4992177499645</v>
      </c>
      <c r="F22" s="406">
        <v>0</v>
      </c>
      <c r="G22" s="352">
        <f>F22/'- 3 -'!E22</f>
        <v>0</v>
      </c>
      <c r="H22" s="406">
        <f>IF('- 7 -'!C22=0,"",F22/'- 7 -'!C22)</f>
      </c>
    </row>
    <row r="23" spans="1:8" ht="12.75">
      <c r="A23" s="11">
        <v>15</v>
      </c>
      <c r="B23" s="12" t="s">
        <v>128</v>
      </c>
      <c r="C23" s="405">
        <v>2078589</v>
      </c>
      <c r="D23" s="351">
        <f>C23/'- 3 -'!E23</f>
        <v>0.06498152724779017</v>
      </c>
      <c r="E23" s="405">
        <f>C23/'- 7 -'!D23</f>
        <v>347.12575150300603</v>
      </c>
      <c r="F23" s="405">
        <v>1272064</v>
      </c>
      <c r="G23" s="351">
        <f>F23/'- 3 -'!E23</f>
        <v>0.03976767965044217</v>
      </c>
      <c r="H23" s="405">
        <f>IF('- 7 -'!C23=0,"",F23/'- 7 -'!C23)</f>
        <v>5000.2515723270435</v>
      </c>
    </row>
    <row r="24" spans="1:8" ht="12.75">
      <c r="A24" s="13">
        <v>16</v>
      </c>
      <c r="B24" s="14" t="s">
        <v>129</v>
      </c>
      <c r="C24" s="406">
        <v>288838</v>
      </c>
      <c r="D24" s="352">
        <f>C24/'- 3 -'!E24</f>
        <v>0.04673818026699848</v>
      </c>
      <c r="E24" s="406">
        <f>C24/'- 7 -'!D24</f>
        <v>343.52759276879164</v>
      </c>
      <c r="F24" s="406">
        <v>196507</v>
      </c>
      <c r="G24" s="352">
        <f>F24/'- 3 -'!E24</f>
        <v>0.03179768447962896</v>
      </c>
      <c r="H24" s="406">
        <f>IF('- 7 -'!C24=0,"",F24/'- 7 -'!C24)</f>
        <v>4701.124401913876</v>
      </c>
    </row>
    <row r="25" spans="1:8" ht="12.75">
      <c r="A25" s="11">
        <v>17</v>
      </c>
      <c r="B25" s="12" t="s">
        <v>130</v>
      </c>
      <c r="C25" s="405">
        <v>282905</v>
      </c>
      <c r="D25" s="351">
        <f>C25/'- 3 -'!E25</f>
        <v>0.06795853502436676</v>
      </c>
      <c r="E25" s="405">
        <f>C25/'- 7 -'!D25</f>
        <v>588.1600831600831</v>
      </c>
      <c r="F25" s="405">
        <v>121690</v>
      </c>
      <c r="G25" s="351">
        <f>F25/'- 3 -'!E25</f>
        <v>0.02923198291693392</v>
      </c>
      <c r="H25" s="405">
        <f>IF('- 7 -'!C25=0,"",F25/'- 7 -'!C25)</f>
        <v>8112.666666666667</v>
      </c>
    </row>
    <row r="26" spans="1:8" ht="12.75">
      <c r="A26" s="13">
        <v>18</v>
      </c>
      <c r="B26" s="14" t="s">
        <v>131</v>
      </c>
      <c r="C26" s="406">
        <v>671842.21</v>
      </c>
      <c r="D26" s="352">
        <f>C26/'- 3 -'!E26</f>
        <v>0.0699553364905226</v>
      </c>
      <c r="E26" s="406">
        <f>C26/'- 7 -'!D26</f>
        <v>456.8801156069364</v>
      </c>
      <c r="F26" s="406">
        <v>422630</v>
      </c>
      <c r="G26" s="352">
        <f>F26/'- 3 -'!E26</f>
        <v>0.044006201785073265</v>
      </c>
      <c r="H26" s="406">
        <f>IF('- 7 -'!C26=0,"",F26/'- 7 -'!C26)</f>
        <v>5217.6543209876545</v>
      </c>
    </row>
    <row r="27" spans="1:8" ht="12.75">
      <c r="A27" s="11">
        <v>19</v>
      </c>
      <c r="B27" s="12" t="s">
        <v>132</v>
      </c>
      <c r="C27" s="405">
        <v>800485</v>
      </c>
      <c r="D27" s="351">
        <f>C27/'- 3 -'!E27</f>
        <v>0.05445683622863115</v>
      </c>
      <c r="E27" s="405">
        <f>C27/'- 7 -'!D27</f>
        <v>430.71563088512244</v>
      </c>
      <c r="F27" s="405">
        <v>70550</v>
      </c>
      <c r="G27" s="351">
        <f>F27/'- 3 -'!E27</f>
        <v>0.0047995025464935975</v>
      </c>
      <c r="H27" s="405">
        <f>IF('- 7 -'!C27=0,"",F27/'- 7 -'!C27)</f>
        <v>3919.4444444444443</v>
      </c>
    </row>
    <row r="28" spans="1:8" ht="12.75">
      <c r="A28" s="13">
        <v>20</v>
      </c>
      <c r="B28" s="14" t="s">
        <v>133</v>
      </c>
      <c r="C28" s="406">
        <v>503205</v>
      </c>
      <c r="D28" s="352">
        <f>C28/'- 3 -'!E28</f>
        <v>0.06656942406246458</v>
      </c>
      <c r="E28" s="406">
        <f>C28/'- 7 -'!D28</f>
        <v>532.2104706504495</v>
      </c>
      <c r="F28" s="406">
        <v>0</v>
      </c>
      <c r="G28" s="352">
        <f>F28/'- 3 -'!E28</f>
        <v>0</v>
      </c>
      <c r="H28" s="406">
        <f>IF('- 7 -'!C28=0,"",F28/'- 7 -'!C28)</f>
      </c>
    </row>
    <row r="29" spans="1:8" ht="12.75">
      <c r="A29" s="11">
        <v>21</v>
      </c>
      <c r="B29" s="12" t="s">
        <v>134</v>
      </c>
      <c r="C29" s="405">
        <v>1513032</v>
      </c>
      <c r="D29" s="351">
        <f>C29/'- 3 -'!E29</f>
        <v>0.06783225084974573</v>
      </c>
      <c r="E29" s="405">
        <f>C29/'- 7 -'!D29</f>
        <v>443.5093067565587</v>
      </c>
      <c r="F29" s="405">
        <v>0</v>
      </c>
      <c r="G29" s="351">
        <f>F29/'- 3 -'!E29</f>
        <v>0</v>
      </c>
      <c r="H29" s="405">
        <f>IF('- 7 -'!C29=0,"",F29/'- 7 -'!C29)</f>
      </c>
    </row>
    <row r="30" spans="1:8" ht="12.75">
      <c r="A30" s="13">
        <v>22</v>
      </c>
      <c r="B30" s="14" t="s">
        <v>135</v>
      </c>
      <c r="C30" s="406">
        <v>768039</v>
      </c>
      <c r="D30" s="352">
        <f>C30/'- 3 -'!E30</f>
        <v>0.06524454375609566</v>
      </c>
      <c r="E30" s="406">
        <f>C30/'- 7 -'!D30</f>
        <v>435.0263381478335</v>
      </c>
      <c r="F30" s="406">
        <v>68043</v>
      </c>
      <c r="G30" s="352">
        <f>F30/'- 3 -'!E30</f>
        <v>0.005780220133087014</v>
      </c>
      <c r="H30" s="406">
        <f>IF('- 7 -'!C30=0,"",F30/'- 7 -'!C30)</f>
        <v>3402.15</v>
      </c>
    </row>
    <row r="31" spans="1:8" ht="12.75">
      <c r="A31" s="11">
        <v>23</v>
      </c>
      <c r="B31" s="12" t="s">
        <v>136</v>
      </c>
      <c r="C31" s="405">
        <v>634341</v>
      </c>
      <c r="D31" s="351">
        <f>C31/'- 3 -'!E31</f>
        <v>0.06271714271138058</v>
      </c>
      <c r="E31" s="405">
        <f>C31/'- 7 -'!D31</f>
        <v>441.12726008344924</v>
      </c>
      <c r="F31" s="405">
        <v>181375</v>
      </c>
      <c r="G31" s="351">
        <f>F31/'- 3 -'!E31</f>
        <v>0.017932502800980313</v>
      </c>
      <c r="H31" s="405">
        <f>IF('- 7 -'!C31=0,"",F31/'- 7 -'!C31)</f>
        <v>4902.027027027027</v>
      </c>
    </row>
    <row r="32" spans="1:8" ht="12.75">
      <c r="A32" s="13">
        <v>24</v>
      </c>
      <c r="B32" s="14" t="s">
        <v>137</v>
      </c>
      <c r="C32" s="406">
        <v>1677373</v>
      </c>
      <c r="D32" s="352">
        <f>C32/'- 3 -'!E32</f>
        <v>0.0737917744207127</v>
      </c>
      <c r="E32" s="406">
        <f>C32/'- 7 -'!D32</f>
        <v>480.9671684587814</v>
      </c>
      <c r="F32" s="406">
        <v>320279</v>
      </c>
      <c r="G32" s="352">
        <f>F32/'- 3 -'!E32</f>
        <v>0.014089862970067746</v>
      </c>
      <c r="H32" s="406">
        <f>IF('- 7 -'!C32=0,"",F32/'- 7 -'!C32)</f>
        <v>6617.334710743802</v>
      </c>
    </row>
    <row r="33" spans="1:8" ht="12.75">
      <c r="A33" s="11">
        <v>25</v>
      </c>
      <c r="B33" s="12" t="s">
        <v>138</v>
      </c>
      <c r="C33" s="405">
        <v>544082</v>
      </c>
      <c r="D33" s="351">
        <f>C33/'- 3 -'!E33</f>
        <v>0.05177667138740376</v>
      </c>
      <c r="E33" s="405">
        <f>C33/'- 7 -'!D33</f>
        <v>372.8887670481804</v>
      </c>
      <c r="F33" s="405">
        <v>0</v>
      </c>
      <c r="G33" s="351">
        <f>F33/'- 3 -'!E33</f>
        <v>0</v>
      </c>
      <c r="H33" s="405">
        <f>IF('- 7 -'!C33=0,"",F33/'- 7 -'!C33)</f>
      </c>
    </row>
    <row r="34" spans="1:8" ht="12.75">
      <c r="A34" s="13">
        <v>26</v>
      </c>
      <c r="B34" s="14" t="s">
        <v>139</v>
      </c>
      <c r="C34" s="406">
        <v>953674</v>
      </c>
      <c r="D34" s="352">
        <f>C34/'- 3 -'!E34</f>
        <v>0.05879846497110954</v>
      </c>
      <c r="E34" s="406">
        <f>C34/'- 7 -'!D34</f>
        <v>342.407726554646</v>
      </c>
      <c r="F34" s="406">
        <v>403567</v>
      </c>
      <c r="G34" s="352">
        <f>F34/'- 3 -'!E34</f>
        <v>0.02488179410678677</v>
      </c>
      <c r="H34" s="406">
        <f>IF('- 7 -'!C34=0,"",F34/'- 7 -'!C34)</f>
        <v>8586.531914893618</v>
      </c>
    </row>
    <row r="35" spans="1:8" ht="12.75">
      <c r="A35" s="11">
        <v>28</v>
      </c>
      <c r="B35" s="12" t="s">
        <v>140</v>
      </c>
      <c r="C35" s="405">
        <v>314779</v>
      </c>
      <c r="D35" s="351">
        <f>C35/'- 3 -'!E35</f>
        <v>0.049419121734733173</v>
      </c>
      <c r="E35" s="405">
        <f>C35/'- 7 -'!D35</f>
        <v>357.1676576045024</v>
      </c>
      <c r="F35" s="405">
        <v>0</v>
      </c>
      <c r="G35" s="351">
        <f>F35/'- 3 -'!E35</f>
        <v>0</v>
      </c>
      <c r="H35" s="405">
        <f>IF('- 7 -'!C35=0,"",F35/'- 7 -'!C35)</f>
      </c>
    </row>
    <row r="36" spans="1:8" ht="12.75">
      <c r="A36" s="13">
        <v>30</v>
      </c>
      <c r="B36" s="14" t="s">
        <v>141</v>
      </c>
      <c r="C36" s="406">
        <v>467747</v>
      </c>
      <c r="D36" s="352">
        <f>C36/'- 3 -'!E36</f>
        <v>0.050627733806922606</v>
      </c>
      <c r="E36" s="406">
        <f>C36/'- 7 -'!D36</f>
        <v>359.33548436659754</v>
      </c>
      <c r="F36" s="406">
        <v>0</v>
      </c>
      <c r="G36" s="352">
        <f>F36/'- 3 -'!E36</f>
        <v>0</v>
      </c>
      <c r="H36" s="406">
        <f>IF('- 7 -'!C36=0,"",F36/'- 7 -'!C36)</f>
      </c>
    </row>
    <row r="37" spans="1:8" ht="12.75">
      <c r="A37" s="11">
        <v>31</v>
      </c>
      <c r="B37" s="12" t="s">
        <v>142</v>
      </c>
      <c r="C37" s="405">
        <v>565272</v>
      </c>
      <c r="D37" s="351">
        <f>C37/'- 3 -'!E37</f>
        <v>0.05253881075164799</v>
      </c>
      <c r="E37" s="405">
        <f>C37/'- 7 -'!D37</f>
        <v>351.75606720597386</v>
      </c>
      <c r="F37" s="405">
        <v>0</v>
      </c>
      <c r="G37" s="351">
        <f>F37/'- 3 -'!E37</f>
        <v>0</v>
      </c>
      <c r="H37" s="405">
        <f>IF('- 7 -'!C37=0,"",F37/'- 7 -'!C37)</f>
      </c>
    </row>
    <row r="38" spans="1:8" ht="12.75">
      <c r="A38" s="13">
        <v>32</v>
      </c>
      <c r="B38" s="14" t="s">
        <v>143</v>
      </c>
      <c r="C38" s="406">
        <v>290172.08</v>
      </c>
      <c r="D38" s="352">
        <f>C38/'- 3 -'!E38</f>
        <v>0.045744143979670825</v>
      </c>
      <c r="E38" s="406">
        <f>C38/'- 7 -'!D38</f>
        <v>350.0266344993969</v>
      </c>
      <c r="F38" s="406">
        <v>0</v>
      </c>
      <c r="G38" s="352">
        <f>F38/'- 3 -'!E38</f>
        <v>0</v>
      </c>
      <c r="H38" s="406">
        <f>IF('- 7 -'!C38=0,"",F38/'- 7 -'!C38)</f>
      </c>
    </row>
    <row r="39" spans="1:8" ht="12.75">
      <c r="A39" s="11">
        <v>33</v>
      </c>
      <c r="B39" s="12" t="s">
        <v>144</v>
      </c>
      <c r="C39" s="405">
        <v>906864</v>
      </c>
      <c r="D39" s="351">
        <f>C39/'- 3 -'!E39</f>
        <v>0.06975326945375461</v>
      </c>
      <c r="E39" s="405">
        <f>C39/'- 7 -'!D39</f>
        <v>480.5850556438792</v>
      </c>
      <c r="F39" s="405">
        <v>693981</v>
      </c>
      <c r="G39" s="351">
        <f>F39/'- 3 -'!E39</f>
        <v>0.05337894512163464</v>
      </c>
      <c r="H39" s="405">
        <f>IF('- 7 -'!C39=0,"",F39/'- 7 -'!C39)</f>
        <v>5159.710037174721</v>
      </c>
    </row>
    <row r="40" spans="1:8" ht="12.75">
      <c r="A40" s="13">
        <v>34</v>
      </c>
      <c r="B40" s="14" t="s">
        <v>145</v>
      </c>
      <c r="C40" s="406">
        <v>302325.28</v>
      </c>
      <c r="D40" s="352">
        <f>C40/'- 3 -'!E40</f>
        <v>0.05222748573557822</v>
      </c>
      <c r="E40" s="406">
        <f>C40/'- 7 -'!D40</f>
        <v>412.4492223738063</v>
      </c>
      <c r="F40" s="406">
        <v>0</v>
      </c>
      <c r="G40" s="352">
        <f>F40/'- 3 -'!E40</f>
        <v>0</v>
      </c>
      <c r="H40" s="406">
        <f>IF('- 7 -'!C40=0,"",F40/'- 7 -'!C40)</f>
      </c>
    </row>
    <row r="41" spans="1:8" ht="12.75">
      <c r="A41" s="11">
        <v>35</v>
      </c>
      <c r="B41" s="12" t="s">
        <v>146</v>
      </c>
      <c r="C41" s="405">
        <v>876481</v>
      </c>
      <c r="D41" s="351">
        <f>C41/'- 3 -'!E41</f>
        <v>0.06297101567106815</v>
      </c>
      <c r="E41" s="405">
        <f>C41/'- 7 -'!D41</f>
        <v>455.598814845618</v>
      </c>
      <c r="F41" s="405">
        <v>684560</v>
      </c>
      <c r="G41" s="351">
        <f>F41/'- 3 -'!E41</f>
        <v>0.049182399262261714</v>
      </c>
      <c r="H41" s="405">
        <f>IF('- 7 -'!C41=0,"",F41/'- 7 -'!C41)</f>
        <v>4582.0615796519405</v>
      </c>
    </row>
    <row r="42" spans="1:8" ht="12.75">
      <c r="A42" s="13">
        <v>36</v>
      </c>
      <c r="B42" s="14" t="s">
        <v>147</v>
      </c>
      <c r="C42" s="406">
        <v>448502.63</v>
      </c>
      <c r="D42" s="352">
        <f>C42/'- 3 -'!E42</f>
        <v>0.055967190196458606</v>
      </c>
      <c r="E42" s="406">
        <f>C42/'- 7 -'!D42</f>
        <v>444.72248884481905</v>
      </c>
      <c r="F42" s="406">
        <v>0</v>
      </c>
      <c r="G42" s="352">
        <f>F42/'- 3 -'!E42</f>
        <v>0</v>
      </c>
      <c r="H42" s="406">
        <f>IF('- 7 -'!C42=0,"",F42/'- 7 -'!C42)</f>
      </c>
    </row>
    <row r="43" spans="1:8" ht="12.75">
      <c r="A43" s="11">
        <v>37</v>
      </c>
      <c r="B43" s="12" t="s">
        <v>148</v>
      </c>
      <c r="C43" s="405">
        <v>376297.34</v>
      </c>
      <c r="D43" s="351">
        <f>C43/'- 3 -'!E43</f>
        <v>0.05475479142515688</v>
      </c>
      <c r="E43" s="405">
        <f>C43/'- 7 -'!D43</f>
        <v>390.7552855659398</v>
      </c>
      <c r="F43" s="405">
        <v>303342</v>
      </c>
      <c r="G43" s="351">
        <f>F43/'- 3 -'!E43</f>
        <v>0.04413910536941328</v>
      </c>
      <c r="H43" s="405">
        <f>IF('- 7 -'!C43=0,"",F43/'- 7 -'!C43)</f>
        <v>5833.5</v>
      </c>
    </row>
    <row r="44" spans="1:8" ht="12.75">
      <c r="A44" s="13">
        <v>38</v>
      </c>
      <c r="B44" s="14" t="s">
        <v>149</v>
      </c>
      <c r="C44" s="406">
        <v>517874</v>
      </c>
      <c r="D44" s="352">
        <f>C44/'- 3 -'!E44</f>
        <v>0.05796866870658568</v>
      </c>
      <c r="E44" s="406">
        <f>C44/'- 7 -'!D44</f>
        <v>443.38527397260276</v>
      </c>
      <c r="F44" s="406">
        <v>0</v>
      </c>
      <c r="G44" s="352">
        <f>F44/'- 3 -'!E44</f>
        <v>0</v>
      </c>
      <c r="H44" s="406">
        <f>IF('- 7 -'!C44=0,"",F44/'- 7 -'!C44)</f>
      </c>
    </row>
    <row r="45" spans="1:8" ht="12.75">
      <c r="A45" s="11">
        <v>39</v>
      </c>
      <c r="B45" s="12" t="s">
        <v>150</v>
      </c>
      <c r="C45" s="405">
        <v>955929</v>
      </c>
      <c r="D45" s="351">
        <f>C45/'- 3 -'!E45</f>
        <v>0.06406124441776367</v>
      </c>
      <c r="E45" s="405">
        <f>C45/'- 7 -'!D45</f>
        <v>450.9099056603774</v>
      </c>
      <c r="F45" s="405">
        <v>97594</v>
      </c>
      <c r="G45" s="351">
        <f>F45/'- 3 -'!E45</f>
        <v>0.006540227451732533</v>
      </c>
      <c r="H45" s="405">
        <f>IF('- 7 -'!C45=0,"",F45/'- 7 -'!C45)</f>
        <v>5136.526315789473</v>
      </c>
    </row>
    <row r="46" spans="1:8" ht="12.75">
      <c r="A46" s="13">
        <v>40</v>
      </c>
      <c r="B46" s="14" t="s">
        <v>151</v>
      </c>
      <c r="C46" s="406">
        <v>2824688</v>
      </c>
      <c r="D46" s="352">
        <f>C46/'- 3 -'!E46</f>
        <v>0.0630522494359995</v>
      </c>
      <c r="E46" s="406">
        <f>C46/'- 7 -'!D46</f>
        <v>392.6995690254414</v>
      </c>
      <c r="F46" s="406">
        <v>1896980</v>
      </c>
      <c r="G46" s="352">
        <f>F46/'- 3 -'!E46</f>
        <v>0.04234409468766191</v>
      </c>
      <c r="H46" s="406">
        <f>IF('- 7 -'!C46=0,"",F46/'- 7 -'!C46)</f>
        <v>5319.629837352776</v>
      </c>
    </row>
    <row r="47" spans="1:8" ht="12.75">
      <c r="A47" s="11">
        <v>41</v>
      </c>
      <c r="B47" s="12" t="s">
        <v>152</v>
      </c>
      <c r="C47" s="405">
        <v>731479</v>
      </c>
      <c r="D47" s="351">
        <f>C47/'- 3 -'!E47</f>
        <v>0.05959834208377266</v>
      </c>
      <c r="E47" s="405">
        <f>C47/'- 7 -'!D47</f>
        <v>441.79440719937185</v>
      </c>
      <c r="F47" s="405">
        <v>144650</v>
      </c>
      <c r="G47" s="351">
        <f>F47/'- 3 -'!E47</f>
        <v>0.011785574408038665</v>
      </c>
      <c r="H47" s="405">
        <f>IF('- 7 -'!C47=0,"",F47/'- 7 -'!C47)</f>
        <v>4821.666666666667</v>
      </c>
    </row>
    <row r="48" spans="1:8" ht="12.75">
      <c r="A48" s="13">
        <v>42</v>
      </c>
      <c r="B48" s="14" t="s">
        <v>153</v>
      </c>
      <c r="C48" s="406">
        <v>287369</v>
      </c>
      <c r="D48" s="352">
        <f>C48/'- 3 -'!E48</f>
        <v>0.037179627506369994</v>
      </c>
      <c r="E48" s="406">
        <f>C48/'- 7 -'!D48</f>
        <v>271.8722800378429</v>
      </c>
      <c r="F48" s="406">
        <v>0</v>
      </c>
      <c r="G48" s="352">
        <f>F48/'- 3 -'!E48</f>
        <v>0</v>
      </c>
      <c r="H48" s="406">
        <f>IF('- 7 -'!C48=0,"",F48/'- 7 -'!C48)</f>
      </c>
    </row>
    <row r="49" spans="1:8" ht="12.75">
      <c r="A49" s="11">
        <v>43</v>
      </c>
      <c r="B49" s="12" t="s">
        <v>154</v>
      </c>
      <c r="C49" s="405">
        <v>260051</v>
      </c>
      <c r="D49" s="351">
        <f>C49/'- 3 -'!E49</f>
        <v>0.040898489411727704</v>
      </c>
      <c r="E49" s="405">
        <f>C49/'- 7 -'!D49</f>
        <v>334.04110468850354</v>
      </c>
      <c r="F49" s="405">
        <v>0</v>
      </c>
      <c r="G49" s="351">
        <f>F49/'- 3 -'!E49</f>
        <v>0</v>
      </c>
      <c r="H49" s="405">
        <f>IF('- 7 -'!C49=0,"",F49/'- 7 -'!C49)</f>
      </c>
    </row>
    <row r="50" spans="1:8" ht="12.75">
      <c r="A50" s="13">
        <v>44</v>
      </c>
      <c r="B50" s="14" t="s">
        <v>155</v>
      </c>
      <c r="C50" s="406">
        <v>492388</v>
      </c>
      <c r="D50" s="352">
        <f>C50/'- 3 -'!E50</f>
        <v>0.053225070354145594</v>
      </c>
      <c r="E50" s="406">
        <f>C50/'- 7 -'!D50</f>
        <v>395.9694410936872</v>
      </c>
      <c r="F50" s="406">
        <v>0</v>
      </c>
      <c r="G50" s="352">
        <f>F50/'- 3 -'!E50</f>
        <v>0</v>
      </c>
      <c r="H50" s="406">
        <f>IF('- 7 -'!C50=0,"",F50/'- 7 -'!C50)</f>
      </c>
    </row>
    <row r="51" spans="1:8" ht="12.75">
      <c r="A51" s="11">
        <v>45</v>
      </c>
      <c r="B51" s="12" t="s">
        <v>156</v>
      </c>
      <c r="C51" s="405">
        <v>837369</v>
      </c>
      <c r="D51" s="351">
        <f>C51/'- 3 -'!E51</f>
        <v>0.06943700212099999</v>
      </c>
      <c r="E51" s="405">
        <f>C51/'- 7 -'!D51</f>
        <v>453.3425369498132</v>
      </c>
      <c r="F51" s="405">
        <v>0</v>
      </c>
      <c r="G51" s="351">
        <f>F51/'- 3 -'!E51</f>
        <v>0</v>
      </c>
      <c r="H51" s="405">
        <f>IF('- 7 -'!C51=0,"",F51/'- 7 -'!C51)</f>
      </c>
    </row>
    <row r="52" spans="1:8" ht="12.75">
      <c r="A52" s="13">
        <v>46</v>
      </c>
      <c r="B52" s="14" t="s">
        <v>157</v>
      </c>
      <c r="C52" s="406">
        <v>900385</v>
      </c>
      <c r="D52" s="352">
        <f>C52/'- 3 -'!E52</f>
        <v>0.08230835028760629</v>
      </c>
      <c r="E52" s="406">
        <f>C52/'- 7 -'!D52</f>
        <v>632.1152766076945</v>
      </c>
      <c r="F52" s="406">
        <v>67130</v>
      </c>
      <c r="G52" s="352">
        <f>F52/'- 3 -'!E52</f>
        <v>0.006136663266055087</v>
      </c>
      <c r="H52" s="406">
        <f>IF('- 7 -'!C52=0,"",F52/'- 7 -'!C52)</f>
        <v>6102.727272727273</v>
      </c>
    </row>
    <row r="53" spans="1:8" ht="12.75">
      <c r="A53" s="11">
        <v>47</v>
      </c>
      <c r="B53" s="12" t="s">
        <v>158</v>
      </c>
      <c r="C53" s="405">
        <v>628300</v>
      </c>
      <c r="D53" s="351">
        <f>C53/'- 3 -'!E53</f>
        <v>0.06822498630722462</v>
      </c>
      <c r="E53" s="405">
        <f>C53/'- 7 -'!D53</f>
        <v>437.68721699756185</v>
      </c>
      <c r="F53" s="405">
        <v>0</v>
      </c>
      <c r="G53" s="351">
        <f>F53/'- 3 -'!E53</f>
        <v>0</v>
      </c>
      <c r="H53" s="405">
        <f>IF('- 7 -'!C53=0,"",F53/'- 7 -'!C53)</f>
      </c>
    </row>
    <row r="54" spans="1:8" ht="12.75">
      <c r="A54" s="13">
        <v>48</v>
      </c>
      <c r="B54" s="14" t="s">
        <v>159</v>
      </c>
      <c r="C54" s="406">
        <v>2956733</v>
      </c>
      <c r="D54" s="352">
        <f>C54/'- 3 -'!E54</f>
        <v>0.04978142767540703</v>
      </c>
      <c r="E54" s="406">
        <f>C54/'- 7 -'!D54</f>
        <v>565.5896474549037</v>
      </c>
      <c r="F54" s="406">
        <v>161160</v>
      </c>
      <c r="G54" s="352">
        <f>F54/'- 3 -'!E54</f>
        <v>0.002713391734785859</v>
      </c>
      <c r="H54" s="406">
        <f>IF('- 7 -'!C54=0,"",F54/'- 7 -'!C54)</f>
        <v>8098.4924623115585</v>
      </c>
    </row>
    <row r="55" spans="1:8" ht="12.75">
      <c r="A55" s="11">
        <v>49</v>
      </c>
      <c r="B55" s="12" t="s">
        <v>160</v>
      </c>
      <c r="C55" s="405">
        <v>2465186</v>
      </c>
      <c r="D55" s="351">
        <f>C55/'- 3 -'!E55</f>
        <v>0.06805495101338047</v>
      </c>
      <c r="E55" s="405">
        <f>C55/'- 7 -'!D55</f>
        <v>584.8325109128867</v>
      </c>
      <c r="F55" s="405">
        <v>0</v>
      </c>
      <c r="G55" s="351">
        <f>F55/'- 3 -'!E55</f>
        <v>0</v>
      </c>
      <c r="H55" s="405">
        <f>IF('- 7 -'!C55=0,"",F55/'- 7 -'!C55)</f>
      </c>
    </row>
    <row r="56" spans="1:8" ht="12.75">
      <c r="A56" s="13">
        <v>50</v>
      </c>
      <c r="B56" s="14" t="s">
        <v>343</v>
      </c>
      <c r="C56" s="406">
        <v>817290</v>
      </c>
      <c r="D56" s="352">
        <f>C56/'- 3 -'!E56</f>
        <v>0.05670018768942208</v>
      </c>
      <c r="E56" s="406">
        <f>C56/'- 7 -'!D56</f>
        <v>463.7632639164728</v>
      </c>
      <c r="F56" s="406">
        <v>0</v>
      </c>
      <c r="G56" s="352">
        <f>F56/'- 3 -'!E56</f>
        <v>0</v>
      </c>
      <c r="H56" s="406">
        <f>IF('- 7 -'!C56=0,"",F56/'- 7 -'!C56)</f>
      </c>
    </row>
    <row r="57" spans="1:8" ht="12.75">
      <c r="A57" s="11">
        <v>2264</v>
      </c>
      <c r="B57" s="12" t="s">
        <v>161</v>
      </c>
      <c r="C57" s="405">
        <v>92621</v>
      </c>
      <c r="D57" s="351">
        <f>C57/'- 3 -'!E57</f>
        <v>0.04399544870999512</v>
      </c>
      <c r="E57" s="405">
        <f>C57/'- 7 -'!D57</f>
        <v>471.35368956743</v>
      </c>
      <c r="F57" s="405">
        <v>0</v>
      </c>
      <c r="G57" s="351">
        <f>F57/'- 3 -'!E57</f>
        <v>0</v>
      </c>
      <c r="H57" s="405">
        <f>IF('- 7 -'!C57=0,"",F57/'- 7 -'!C57)</f>
      </c>
    </row>
    <row r="58" spans="1:8" ht="12.75">
      <c r="A58" s="13">
        <v>2309</v>
      </c>
      <c r="B58" s="14" t="s">
        <v>162</v>
      </c>
      <c r="C58" s="406">
        <v>177754</v>
      </c>
      <c r="D58" s="352">
        <f>C58/'- 3 -'!E58</f>
        <v>0.07847255884095439</v>
      </c>
      <c r="E58" s="406">
        <f>C58/'- 7 -'!D58</f>
        <v>681.8335251246644</v>
      </c>
      <c r="F58" s="406">
        <v>0</v>
      </c>
      <c r="G58" s="352">
        <f>F58/'- 3 -'!E58</f>
        <v>0</v>
      </c>
      <c r="H58" s="406">
        <f>IF('- 7 -'!C58=0,"",F58/'- 7 -'!C58)</f>
      </c>
    </row>
    <row r="59" spans="1:8" ht="12.75">
      <c r="A59" s="11">
        <v>2312</v>
      </c>
      <c r="B59" s="12" t="s">
        <v>163</v>
      </c>
      <c r="C59" s="405">
        <v>211450</v>
      </c>
      <c r="D59" s="351">
        <f>C59/'- 3 -'!E59</f>
        <v>0.10496958637167624</v>
      </c>
      <c r="E59" s="405">
        <f>C59/'- 7 -'!D59</f>
        <v>1215.2298850574712</v>
      </c>
      <c r="F59" s="405">
        <v>0</v>
      </c>
      <c r="G59" s="351">
        <f>F59/'- 3 -'!E59</f>
        <v>0</v>
      </c>
      <c r="H59" s="405">
        <f>IF('- 7 -'!C59=0,"",F59/'- 7 -'!C59)</f>
      </c>
    </row>
    <row r="60" spans="1:8" ht="12.75">
      <c r="A60" s="13">
        <v>2355</v>
      </c>
      <c r="B60" s="14" t="s">
        <v>164</v>
      </c>
      <c r="C60" s="406">
        <v>1604116</v>
      </c>
      <c r="D60" s="352">
        <f>C60/'- 3 -'!E60</f>
        <v>0.06448680361199507</v>
      </c>
      <c r="E60" s="406">
        <f>C60/'- 7 -'!D60</f>
        <v>493.5285973602436</v>
      </c>
      <c r="F60" s="406">
        <v>737817</v>
      </c>
      <c r="G60" s="352">
        <f>F60/'- 3 -'!E60</f>
        <v>0.029660859925710714</v>
      </c>
      <c r="H60" s="406">
        <f>IF('- 7 -'!C60=0,"",F60/'- 7 -'!C60)</f>
        <v>4114.986056887897</v>
      </c>
    </row>
    <row r="61" spans="1:8" ht="12.75">
      <c r="A61" s="11">
        <v>2439</v>
      </c>
      <c r="B61" s="12" t="s">
        <v>165</v>
      </c>
      <c r="C61" s="405">
        <v>59792.88</v>
      </c>
      <c r="D61" s="351">
        <f>C61/'- 3 -'!E61</f>
        <v>0.0427953332501898</v>
      </c>
      <c r="E61" s="405">
        <f>C61/'- 7 -'!D61</f>
        <v>397.2948837209302</v>
      </c>
      <c r="F61" s="405">
        <v>0</v>
      </c>
      <c r="G61" s="351">
        <f>F61/'- 3 -'!E61</f>
        <v>0</v>
      </c>
      <c r="H61" s="405">
        <f>IF('- 7 -'!C61=0,"",F61/'- 7 -'!C61)</f>
      </c>
    </row>
    <row r="62" spans="1:8" ht="12.75">
      <c r="A62" s="13">
        <v>2460</v>
      </c>
      <c r="B62" s="14" t="s">
        <v>166</v>
      </c>
      <c r="C62" s="406">
        <v>275004</v>
      </c>
      <c r="D62" s="352">
        <f>C62/'- 3 -'!E62</f>
        <v>0.08322065924329008</v>
      </c>
      <c r="E62" s="406">
        <f>C62/'- 7 -'!D62</f>
        <v>1010.3012490815577</v>
      </c>
      <c r="F62" s="406">
        <v>0</v>
      </c>
      <c r="G62" s="352">
        <f>F62/'- 3 -'!E62</f>
        <v>0</v>
      </c>
      <c r="H62" s="406">
        <f>IF('- 7 -'!C62=0,"",F62/'- 7 -'!C62)</f>
      </c>
    </row>
    <row r="63" spans="1:8" ht="12.75">
      <c r="A63" s="11">
        <v>3000</v>
      </c>
      <c r="B63" s="12" t="s">
        <v>366</v>
      </c>
      <c r="C63" s="405">
        <v>0</v>
      </c>
      <c r="D63" s="351">
        <f>C63/'- 3 -'!E63</f>
        <v>0</v>
      </c>
      <c r="E63" s="405">
        <f>C63/'- 7 -'!D63</f>
        <v>0</v>
      </c>
      <c r="F63" s="405">
        <v>2963370</v>
      </c>
      <c r="G63" s="351">
        <f>F63/'- 3 -'!E63</f>
        <v>0.5138592898425322</v>
      </c>
      <c r="H63" s="405">
        <f>IF('- 7 -'!C63=0,"",F63/'- 7 -'!C63)</f>
        <v>4663.052714398112</v>
      </c>
    </row>
    <row r="64" spans="1:8" ht="4.5" customHeight="1">
      <c r="A64" s="15"/>
      <c r="B64" s="15"/>
      <c r="C64" s="412"/>
      <c r="D64" s="194"/>
      <c r="E64" s="412"/>
      <c r="F64" s="412"/>
      <c r="G64" s="194"/>
      <c r="H64" s="412"/>
    </row>
    <row r="65" spans="1:8" ht="12.75">
      <c r="A65" s="17"/>
      <c r="B65" s="18" t="s">
        <v>167</v>
      </c>
      <c r="C65" s="407">
        <f>SUM(C11:C63)</f>
        <v>85753052.3</v>
      </c>
      <c r="D65" s="100">
        <f>C65/'- 3 -'!E65</f>
        <v>0.06608783740314683</v>
      </c>
      <c r="E65" s="407">
        <f>C65/'- 7 -'!D65</f>
        <v>479.3029930526175</v>
      </c>
      <c r="F65" s="407">
        <f>SUM(F11:F63)</f>
        <v>22760339.05</v>
      </c>
      <c r="G65" s="100">
        <f>F65/'- 3 -'!E65</f>
        <v>0.01754085185346684</v>
      </c>
      <c r="H65" s="407">
        <f>F65/'- 7 -'!C65</f>
        <v>5040.379805562937</v>
      </c>
    </row>
    <row r="66" spans="1:8" ht="4.5" customHeight="1">
      <c r="A66" s="15"/>
      <c r="B66" s="15"/>
      <c r="C66" s="412"/>
      <c r="D66" s="194"/>
      <c r="E66" s="412"/>
      <c r="F66" s="412"/>
      <c r="G66" s="194"/>
      <c r="H66" s="412"/>
    </row>
    <row r="67" spans="1:8" ht="12.75">
      <c r="A67" s="13">
        <v>2155</v>
      </c>
      <c r="B67" s="14" t="s">
        <v>168</v>
      </c>
      <c r="C67" s="406">
        <v>33856.44</v>
      </c>
      <c r="D67" s="352">
        <f>C67/'- 3 -'!E67</f>
        <v>0.028293925776059013</v>
      </c>
      <c r="E67" s="406">
        <f>C67/'- 7 -'!D67</f>
        <v>231.89342465753427</v>
      </c>
      <c r="F67" s="406">
        <v>0</v>
      </c>
      <c r="G67" s="352">
        <f>F67/'- 3 -'!E67</f>
        <v>0</v>
      </c>
      <c r="H67" s="406">
        <f>IF('- 7 -'!C67=0,"",F67/'- 7 -'!C67)</f>
      </c>
    </row>
    <row r="68" spans="1:8" ht="12.75">
      <c r="A68" s="11">
        <v>2408</v>
      </c>
      <c r="B68" s="12" t="s">
        <v>170</v>
      </c>
      <c r="C68" s="405">
        <v>161291</v>
      </c>
      <c r="D68" s="351">
        <f>C68/'- 3 -'!E68</f>
        <v>0.07523167798858542</v>
      </c>
      <c r="E68" s="405">
        <f>C68/'- 7 -'!D68</f>
        <v>625.1589147286821</v>
      </c>
      <c r="F68" s="405">
        <v>0</v>
      </c>
      <c r="G68" s="351">
        <f>F68/'- 3 -'!E68</f>
        <v>0</v>
      </c>
      <c r="H68" s="405">
        <f>IF('- 7 -'!C68=0,"",F68/'- 7 -'!C68)</f>
      </c>
    </row>
    <row r="69" spans="3:8" ht="6.75" customHeight="1">
      <c r="C69" s="87"/>
      <c r="D69" s="87"/>
      <c r="E69" s="87"/>
      <c r="F69" s="87"/>
      <c r="G69" s="87"/>
      <c r="H69" s="87"/>
    </row>
    <row r="70" spans="1:8" ht="12" customHeight="1">
      <c r="A70" s="380" t="s">
        <v>354</v>
      </c>
      <c r="B70" s="53" t="s">
        <v>368</v>
      </c>
      <c r="D70" s="87"/>
      <c r="E70" s="87"/>
      <c r="F70" s="87"/>
      <c r="G70" s="87"/>
      <c r="H70" s="87"/>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77"/>
      <c r="D1" s="77"/>
      <c r="E1" s="77"/>
      <c r="F1" s="77"/>
      <c r="G1" s="77"/>
      <c r="H1" s="77"/>
      <c r="I1" s="78"/>
      <c r="J1" s="78"/>
      <c r="K1" s="78"/>
    </row>
    <row r="2" spans="1:11" ht="12.75">
      <c r="A2" s="6"/>
      <c r="B2" s="80"/>
      <c r="C2" s="81" t="s">
        <v>0</v>
      </c>
      <c r="D2" s="81"/>
      <c r="E2" s="81"/>
      <c r="F2" s="195"/>
      <c r="G2" s="195"/>
      <c r="H2" s="195"/>
      <c r="I2" s="195"/>
      <c r="J2" s="80"/>
      <c r="K2" s="82" t="s">
        <v>424</v>
      </c>
    </row>
    <row r="3" spans="1:11" ht="12.75">
      <c r="A3" s="7"/>
      <c r="B3" s="83"/>
      <c r="C3" s="84" t="str">
        <f>YEAR</f>
        <v>OPERATING FUND ACTUAL 2001/2002</v>
      </c>
      <c r="D3" s="84"/>
      <c r="E3" s="84"/>
      <c r="F3" s="198"/>
      <c r="G3" s="198"/>
      <c r="H3" s="198"/>
      <c r="I3" s="198"/>
      <c r="J3" s="83"/>
      <c r="K3" s="85"/>
    </row>
    <row r="4" spans="1:11" ht="12.75">
      <c r="A4" s="8"/>
      <c r="I4" s="78"/>
      <c r="J4" s="78"/>
      <c r="K4" s="78"/>
    </row>
    <row r="5" spans="1:11" ht="16.5">
      <c r="A5" s="8"/>
      <c r="C5" s="327" t="s">
        <v>330</v>
      </c>
      <c r="D5" s="171"/>
      <c r="E5" s="171"/>
      <c r="F5" s="171"/>
      <c r="G5" s="171"/>
      <c r="H5" s="171"/>
      <c r="I5" s="171"/>
      <c r="J5" s="328"/>
      <c r="K5" s="329"/>
    </row>
    <row r="6" spans="1:11" ht="16.5">
      <c r="A6" s="8"/>
      <c r="C6" s="378" t="s">
        <v>404</v>
      </c>
      <c r="D6" s="34"/>
      <c r="E6" s="34"/>
      <c r="F6" s="34"/>
      <c r="G6" s="34"/>
      <c r="H6" s="35"/>
      <c r="I6" s="88"/>
      <c r="J6" s="89"/>
      <c r="K6" s="90"/>
    </row>
    <row r="7" spans="3:11" ht="12.75">
      <c r="C7" s="39" t="s">
        <v>39</v>
      </c>
      <c r="D7" s="40"/>
      <c r="E7" s="41"/>
      <c r="F7" s="39" t="s">
        <v>40</v>
      </c>
      <c r="G7" s="40"/>
      <c r="H7" s="41"/>
      <c r="I7" s="39" t="s">
        <v>41</v>
      </c>
      <c r="J7" s="40"/>
      <c r="K7" s="41"/>
    </row>
    <row r="8" spans="1:11" ht="12.75">
      <c r="A8" s="91"/>
      <c r="B8" s="43"/>
      <c r="C8" s="47"/>
      <c r="D8" s="48"/>
      <c r="E8" s="46" t="s">
        <v>76</v>
      </c>
      <c r="F8" s="47"/>
      <c r="G8" s="48"/>
      <c r="H8" s="46" t="s">
        <v>76</v>
      </c>
      <c r="I8" s="92"/>
      <c r="J8" s="45"/>
      <c r="K8" s="46" t="s">
        <v>76</v>
      </c>
    </row>
    <row r="9" spans="1:11" ht="12.75">
      <c r="A9" s="49" t="s">
        <v>101</v>
      </c>
      <c r="B9" s="50" t="s">
        <v>102</v>
      </c>
      <c r="C9" s="51" t="s">
        <v>103</v>
      </c>
      <c r="D9" s="51" t="s">
        <v>104</v>
      </c>
      <c r="E9" s="51" t="s">
        <v>105</v>
      </c>
      <c r="F9" s="51" t="s">
        <v>103</v>
      </c>
      <c r="G9" s="51" t="s">
        <v>104</v>
      </c>
      <c r="H9" s="51" t="s">
        <v>105</v>
      </c>
      <c r="I9" s="93" t="s">
        <v>103</v>
      </c>
      <c r="J9" s="51" t="s">
        <v>104</v>
      </c>
      <c r="K9" s="51" t="s">
        <v>105</v>
      </c>
    </row>
    <row r="10" spans="1:11" ht="4.5" customHeight="1">
      <c r="A10" s="74"/>
      <c r="B10" s="74"/>
      <c r="C10" s="87"/>
      <c r="D10" s="87"/>
      <c r="E10" s="87"/>
      <c r="F10" s="87"/>
      <c r="G10" s="87"/>
      <c r="H10" s="87"/>
      <c r="I10" s="87"/>
      <c r="J10" s="87"/>
      <c r="K10" s="87"/>
    </row>
    <row r="11" spans="1:11" ht="12.75">
      <c r="A11" s="11">
        <v>1</v>
      </c>
      <c r="B11" s="12" t="s">
        <v>116</v>
      </c>
      <c r="C11" s="405">
        <v>87995264</v>
      </c>
      <c r="D11" s="351">
        <f>C11/'- 3 -'!E11</f>
        <v>0.36507469642423146</v>
      </c>
      <c r="E11" s="405">
        <f>C11/'- 6 -'!C11</f>
        <v>3871.122685999859</v>
      </c>
      <c r="F11" s="405">
        <v>0</v>
      </c>
      <c r="G11" s="351">
        <f>F11/'- 3 -'!E11</f>
        <v>0</v>
      </c>
      <c r="H11" s="405">
        <f>IF('- 6 -'!D11=0,"",F11/'- 6 -'!D11)</f>
      </c>
      <c r="I11" s="405">
        <v>3128701</v>
      </c>
      <c r="J11" s="351">
        <f>I11/'- 3 -'!E11</f>
        <v>0.01298035275827105</v>
      </c>
      <c r="K11" s="405">
        <f>IF('- 6 -'!E11=0,"",I11/'- 6 -'!E11)</f>
        <v>4122.135704874835</v>
      </c>
    </row>
    <row r="12" spans="1:11" ht="12.75">
      <c r="A12" s="13">
        <v>2</v>
      </c>
      <c r="B12" s="14" t="s">
        <v>117</v>
      </c>
      <c r="C12" s="406">
        <v>24532103</v>
      </c>
      <c r="D12" s="352">
        <f>C12/'- 3 -'!E12</f>
        <v>0.40824522421491755</v>
      </c>
      <c r="E12" s="406">
        <f>C12/'- 6 -'!C12</f>
        <v>4015.0544269013412</v>
      </c>
      <c r="F12" s="406">
        <v>0</v>
      </c>
      <c r="G12" s="352">
        <f>F12/'- 3 -'!E12</f>
        <v>0</v>
      </c>
      <c r="H12" s="406">
        <f>IF('- 6 -'!D12=0,"",F12/'- 6 -'!D12)</f>
      </c>
      <c r="I12" s="406">
        <v>2792588</v>
      </c>
      <c r="J12" s="352">
        <f>I12/'- 3 -'!E12</f>
        <v>0.04647219662333425</v>
      </c>
      <c r="K12" s="406">
        <f>IF('- 6 -'!E12=0,"",I12/'- 6 -'!E12)</f>
        <v>4015.2235801581596</v>
      </c>
    </row>
    <row r="13" spans="1:11" ht="12.75">
      <c r="A13" s="11">
        <v>3</v>
      </c>
      <c r="B13" s="12" t="s">
        <v>118</v>
      </c>
      <c r="C13" s="405">
        <v>12710667</v>
      </c>
      <c r="D13" s="351">
        <f>C13/'- 3 -'!E13</f>
        <v>0.30277622414269517</v>
      </c>
      <c r="E13" s="405">
        <f>C13/'- 6 -'!C13</f>
        <v>3735.135762562445</v>
      </c>
      <c r="F13" s="405">
        <v>0</v>
      </c>
      <c r="G13" s="351">
        <f>F13/'- 3 -'!E13</f>
        <v>0</v>
      </c>
      <c r="H13" s="405">
        <f>IF('- 6 -'!D13=0,"",F13/'- 6 -'!D13)</f>
      </c>
      <c r="I13" s="405">
        <v>569548</v>
      </c>
      <c r="J13" s="351">
        <f>I13/'- 3 -'!E13</f>
        <v>0.013566997932368438</v>
      </c>
      <c r="K13" s="405">
        <f>IF('- 6 -'!E13=0,"",I13/'- 6 -'!E13)</f>
        <v>3674.5032258064516</v>
      </c>
    </row>
    <row r="14" spans="1:11" ht="12.75">
      <c r="A14" s="13">
        <v>4</v>
      </c>
      <c r="B14" s="14" t="s">
        <v>119</v>
      </c>
      <c r="C14" s="406">
        <v>13697344.98</v>
      </c>
      <c r="D14" s="352">
        <f>C14/'- 3 -'!E14</f>
        <v>0.3295352556476729</v>
      </c>
      <c r="E14" s="406">
        <f>C14/'- 6 -'!C14</f>
        <v>3562.1004811068055</v>
      </c>
      <c r="F14" s="406">
        <v>1370418</v>
      </c>
      <c r="G14" s="352">
        <f>F14/'- 3 -'!E14</f>
        <v>0.0329699694819377</v>
      </c>
      <c r="H14" s="406">
        <f>IF('- 6 -'!D14=0,"",F14/'- 6 -'!D14)</f>
        <v>3713.869918699187</v>
      </c>
      <c r="I14" s="406">
        <v>5318559</v>
      </c>
      <c r="J14" s="352">
        <f>I14/'- 3 -'!E14</f>
        <v>0.1279556514274368</v>
      </c>
      <c r="K14" s="406">
        <f>IF('- 6 -'!E14=0,"",I14/'- 6 -'!E14)</f>
        <v>3731.0129779024905</v>
      </c>
    </row>
    <row r="15" spans="1:11" ht="12.75">
      <c r="A15" s="11">
        <v>5</v>
      </c>
      <c r="B15" s="12" t="s">
        <v>120</v>
      </c>
      <c r="C15" s="405">
        <v>21254496</v>
      </c>
      <c r="D15" s="351">
        <f>C15/'- 3 -'!E15</f>
        <v>0.4229104425759759</v>
      </c>
      <c r="E15" s="405">
        <f>C15/'- 6 -'!C15</f>
        <v>3910.2391640297296</v>
      </c>
      <c r="F15" s="405">
        <v>0</v>
      </c>
      <c r="G15" s="351">
        <f>F15/'- 3 -'!E15</f>
        <v>0</v>
      </c>
      <c r="H15" s="405">
        <f>IF('- 6 -'!D15=0,"",F15/'- 6 -'!D15)</f>
      </c>
      <c r="I15" s="405">
        <v>2835621</v>
      </c>
      <c r="J15" s="351">
        <f>I15/'- 3 -'!E15</f>
        <v>0.056421649898813465</v>
      </c>
      <c r="K15" s="405">
        <f>IF('- 6 -'!E15=0,"",I15/'- 6 -'!E15)</f>
        <v>3855.3650577838207</v>
      </c>
    </row>
    <row r="16" spans="1:11" ht="12.75">
      <c r="A16" s="13">
        <v>6</v>
      </c>
      <c r="B16" s="14" t="s">
        <v>121</v>
      </c>
      <c r="C16" s="406">
        <v>25273769</v>
      </c>
      <c r="D16" s="352">
        <f>C16/'- 3 -'!E16</f>
        <v>0.43638516182269355</v>
      </c>
      <c r="E16" s="406">
        <f>C16/'- 6 -'!C16</f>
        <v>3682.9880652259444</v>
      </c>
      <c r="F16" s="406">
        <v>0</v>
      </c>
      <c r="G16" s="352">
        <f>F16/'- 3 -'!E16</f>
        <v>0</v>
      </c>
      <c r="H16" s="406">
        <f>IF('- 6 -'!D16=0,"",F16/'- 6 -'!D16)</f>
      </c>
      <c r="I16" s="406">
        <v>6197798</v>
      </c>
      <c r="J16" s="352">
        <f>I16/'- 3 -'!E16</f>
        <v>0.10701320737616801</v>
      </c>
      <c r="K16" s="406">
        <f>IF('- 6 -'!E16=0,"",I16/'- 6 -'!E16)</f>
        <v>3356.147722965289</v>
      </c>
    </row>
    <row r="17" spans="1:11" ht="12.75">
      <c r="A17" s="11">
        <v>9</v>
      </c>
      <c r="B17" s="12" t="s">
        <v>122</v>
      </c>
      <c r="C17" s="405">
        <v>25503655</v>
      </c>
      <c r="D17" s="351">
        <f>C17/'- 3 -'!E17</f>
        <v>0.31284505390848044</v>
      </c>
      <c r="E17" s="405">
        <f>C17/'- 6 -'!C17</f>
        <v>3432.200869366278</v>
      </c>
      <c r="F17" s="405">
        <v>0</v>
      </c>
      <c r="G17" s="351">
        <f>F17/'- 3 -'!E17</f>
        <v>0</v>
      </c>
      <c r="H17" s="405">
        <f>IF('- 6 -'!D17=0,"",F17/'- 6 -'!D17)</f>
      </c>
      <c r="I17" s="405">
        <v>0</v>
      </c>
      <c r="J17" s="351">
        <f>I17/'- 3 -'!E17</f>
        <v>0</v>
      </c>
      <c r="K17" s="405">
        <f>IF('- 6 -'!E17=0,"",I17/'- 6 -'!E17)</f>
      </c>
    </row>
    <row r="18" spans="1:11" ht="12.75">
      <c r="A18" s="13">
        <v>10</v>
      </c>
      <c r="B18" s="14" t="s">
        <v>123</v>
      </c>
      <c r="C18" s="406">
        <v>17053901.349999998</v>
      </c>
      <c r="D18" s="352">
        <f>C18/'- 3 -'!E18</f>
        <v>0.28460637554718793</v>
      </c>
      <c r="E18" s="406">
        <f>C18/'- 6 -'!C18</f>
        <v>3751.8207787922115</v>
      </c>
      <c r="F18" s="406">
        <v>0</v>
      </c>
      <c r="G18" s="352">
        <f>F18/'- 3 -'!E18</f>
        <v>0</v>
      </c>
      <c r="H18" s="406">
        <f>IF('- 6 -'!D18=0,"",F18/'- 6 -'!D18)</f>
      </c>
      <c r="I18" s="406">
        <v>686513.66</v>
      </c>
      <c r="J18" s="352">
        <f>I18/'- 3 -'!E18</f>
        <v>0.011456977528267132</v>
      </c>
      <c r="K18" s="406">
        <f>IF('- 6 -'!E18=0,"",I18/'- 6 -'!E18)</f>
        <v>3651.6684042553193</v>
      </c>
    </row>
    <row r="19" spans="1:11" ht="12.75">
      <c r="A19" s="11">
        <v>11</v>
      </c>
      <c r="B19" s="12" t="s">
        <v>124</v>
      </c>
      <c r="C19" s="405">
        <v>12052000</v>
      </c>
      <c r="D19" s="351">
        <f>C19/'- 3 -'!E19</f>
        <v>0.37280310412716733</v>
      </c>
      <c r="E19" s="405">
        <f>C19/'- 6 -'!C19</f>
        <v>3791.725656756332</v>
      </c>
      <c r="F19" s="405">
        <v>0</v>
      </c>
      <c r="G19" s="351">
        <f>F19/'- 3 -'!E19</f>
        <v>0</v>
      </c>
      <c r="H19" s="405">
        <f>IF('- 6 -'!D19=0,"",F19/'- 6 -'!D19)</f>
      </c>
      <c r="I19" s="405">
        <v>603431</v>
      </c>
      <c r="J19" s="351">
        <f>I19/'- 3 -'!E19</f>
        <v>0.018665860432008023</v>
      </c>
      <c r="K19" s="405">
        <f>IF('- 6 -'!E19=0,"",I19/'- 6 -'!E19)</f>
        <v>3288.452316076294</v>
      </c>
    </row>
    <row r="20" spans="1:11" ht="12.75">
      <c r="A20" s="13">
        <v>12</v>
      </c>
      <c r="B20" s="14" t="s">
        <v>125</v>
      </c>
      <c r="C20" s="406">
        <v>19606252</v>
      </c>
      <c r="D20" s="352">
        <f>C20/'- 3 -'!E20</f>
        <v>0.3785109255737699</v>
      </c>
      <c r="E20" s="406">
        <f>C20/'- 6 -'!C20</f>
        <v>3750.382952676078</v>
      </c>
      <c r="F20" s="406">
        <v>0</v>
      </c>
      <c r="G20" s="352">
        <f>F20/'- 3 -'!E20</f>
        <v>0</v>
      </c>
      <c r="H20" s="406">
        <f>IF('- 6 -'!D20=0,"",F20/'- 6 -'!D20)</f>
      </c>
      <c r="I20" s="406">
        <v>3311591</v>
      </c>
      <c r="J20" s="352">
        <f>I20/'- 3 -'!E20</f>
        <v>0.06393233008184156</v>
      </c>
      <c r="K20" s="406">
        <f>IF('- 6 -'!E20=0,"",I20/'- 6 -'!E20)</f>
        <v>3115.3254938852306</v>
      </c>
    </row>
    <row r="21" spans="1:11" ht="12.75">
      <c r="A21" s="11">
        <v>13</v>
      </c>
      <c r="B21" s="12" t="s">
        <v>126</v>
      </c>
      <c r="C21" s="405">
        <v>6832504</v>
      </c>
      <c r="D21" s="351">
        <f>C21/'- 3 -'!E21</f>
        <v>0.34562838897099823</v>
      </c>
      <c r="E21" s="405">
        <f>C21/'- 6 -'!C21</f>
        <v>3935.547491503946</v>
      </c>
      <c r="F21" s="405">
        <v>0</v>
      </c>
      <c r="G21" s="351">
        <f>F21/'- 3 -'!E21</f>
        <v>0</v>
      </c>
      <c r="H21" s="405">
        <f>IF('- 6 -'!D21=0,"",F21/'- 6 -'!D21)</f>
      </c>
      <c r="I21" s="405">
        <v>0</v>
      </c>
      <c r="J21" s="351">
        <f>I21/'- 3 -'!E21</f>
        <v>0</v>
      </c>
      <c r="K21" s="405">
        <f>IF('- 6 -'!E21=0,"",I21/'- 6 -'!E21)</f>
      </c>
    </row>
    <row r="22" spans="1:11" ht="12.75">
      <c r="A22" s="13">
        <v>14</v>
      </c>
      <c r="B22" s="14" t="s">
        <v>127</v>
      </c>
      <c r="C22" s="406">
        <v>5300304</v>
      </c>
      <c r="D22" s="352">
        <f>C22/'- 3 -'!E22</f>
        <v>0.23049525744047972</v>
      </c>
      <c r="E22" s="406">
        <f>C22/'- 6 -'!C22</f>
        <v>3315.798561151079</v>
      </c>
      <c r="F22" s="406">
        <v>0</v>
      </c>
      <c r="G22" s="352">
        <f>F22/'- 3 -'!E22</f>
        <v>0</v>
      </c>
      <c r="H22" s="406">
        <f>IF('- 6 -'!D22=0,"",F22/'- 6 -'!D22)</f>
      </c>
      <c r="I22" s="406">
        <v>2152143.41</v>
      </c>
      <c r="J22" s="352">
        <f>I22/'- 3 -'!E22</f>
        <v>0.0935906410909227</v>
      </c>
      <c r="K22" s="406">
        <f>IF('- 6 -'!E22=0,"",I22/'- 6 -'!E22)</f>
        <v>3381.2150981932446</v>
      </c>
    </row>
    <row r="23" spans="1:11" ht="12.75">
      <c r="A23" s="11">
        <v>15</v>
      </c>
      <c r="B23" s="12" t="s">
        <v>128</v>
      </c>
      <c r="C23" s="405">
        <v>17679708</v>
      </c>
      <c r="D23" s="351">
        <f>C23/'- 3 -'!E23</f>
        <v>0.5527087977156493</v>
      </c>
      <c r="E23" s="405">
        <f>C23/'- 6 -'!C23</f>
        <v>3083.526580159062</v>
      </c>
      <c r="F23" s="405">
        <v>0</v>
      </c>
      <c r="G23" s="351">
        <f>F23/'- 3 -'!E23</f>
        <v>0</v>
      </c>
      <c r="H23" s="405">
        <f>IF('- 6 -'!D23=0,"",F23/'- 6 -'!D23)</f>
      </c>
      <c r="I23" s="405">
        <v>0</v>
      </c>
      <c r="J23" s="351">
        <f>I23/'- 3 -'!E23</f>
        <v>0</v>
      </c>
      <c r="K23" s="405">
        <f>IF('- 6 -'!E23=0,"",I23/'- 6 -'!E23)</f>
      </c>
    </row>
    <row r="24" spans="1:11" ht="12.75">
      <c r="A24" s="13">
        <v>16</v>
      </c>
      <c r="B24" s="14" t="s">
        <v>129</v>
      </c>
      <c r="C24" s="406">
        <v>3121181</v>
      </c>
      <c r="D24" s="352">
        <f>C24/'- 3 -'!E24</f>
        <v>0.5050523830795484</v>
      </c>
      <c r="E24" s="406">
        <f>C24/'- 6 -'!C24</f>
        <v>3906.3591989987485</v>
      </c>
      <c r="F24" s="406">
        <v>0</v>
      </c>
      <c r="G24" s="352">
        <f>F24/'- 3 -'!E24</f>
        <v>0</v>
      </c>
      <c r="H24" s="406">
        <f>IF('- 6 -'!D24=0,"",F24/'- 6 -'!D24)</f>
      </c>
      <c r="I24" s="406">
        <v>0</v>
      </c>
      <c r="J24" s="352">
        <f>I24/'- 3 -'!E24</f>
        <v>0</v>
      </c>
      <c r="K24" s="406">
        <f>IF('- 6 -'!E24=0,"",I24/'- 6 -'!E24)</f>
      </c>
    </row>
    <row r="25" spans="1:11" ht="12.75">
      <c r="A25" s="11">
        <v>17</v>
      </c>
      <c r="B25" s="12" t="s">
        <v>130</v>
      </c>
      <c r="C25" s="405">
        <v>124572</v>
      </c>
      <c r="D25" s="351">
        <f>C25/'- 3 -'!E25</f>
        <v>0.029924287746965997</v>
      </c>
      <c r="E25" s="405">
        <f>C25/'- 6 -'!C25</f>
        <v>4295.586206896552</v>
      </c>
      <c r="F25" s="405">
        <v>715563</v>
      </c>
      <c r="G25" s="351">
        <f>F25/'- 3 -'!E25</f>
        <v>0.17189025714512274</v>
      </c>
      <c r="H25" s="405">
        <f>IF('- 6 -'!D25=0,"",F25/'- 6 -'!D25)</f>
        <v>4246.6646884273</v>
      </c>
      <c r="I25" s="405">
        <v>1185259</v>
      </c>
      <c r="J25" s="351">
        <f>I25/'- 3 -'!E25</f>
        <v>0.28471912926404946</v>
      </c>
      <c r="K25" s="405">
        <f>IF('- 6 -'!E25=0,"",I25/'- 6 -'!E25)</f>
        <v>4414.372439478585</v>
      </c>
    </row>
    <row r="26" spans="1:11" ht="12.75">
      <c r="A26" s="13">
        <v>18</v>
      </c>
      <c r="B26" s="14" t="s">
        <v>131</v>
      </c>
      <c r="C26" s="406">
        <v>4310467</v>
      </c>
      <c r="D26" s="352">
        <f>C26/'- 3 -'!E26</f>
        <v>0.4488258774575856</v>
      </c>
      <c r="E26" s="406">
        <f>C26/'- 6 -'!C26</f>
        <v>3102.171284634761</v>
      </c>
      <c r="F26" s="406">
        <v>0</v>
      </c>
      <c r="G26" s="352">
        <f>F26/'- 3 -'!E26</f>
        <v>0</v>
      </c>
      <c r="H26" s="406">
        <f>IF('- 6 -'!D26=0,"",F26/'- 6 -'!D26)</f>
      </c>
      <c r="I26" s="406">
        <v>0</v>
      </c>
      <c r="J26" s="352">
        <f>I26/'- 3 -'!E26</f>
        <v>0</v>
      </c>
      <c r="K26" s="406">
        <f>IF('- 6 -'!E26=0,"",I26/'- 6 -'!E26)</f>
      </c>
    </row>
    <row r="27" spans="1:11" ht="12.75">
      <c r="A27" s="11">
        <v>19</v>
      </c>
      <c r="B27" s="12" t="s">
        <v>132</v>
      </c>
      <c r="C27" s="405">
        <v>6797247</v>
      </c>
      <c r="D27" s="351">
        <f>C27/'- 3 -'!E27</f>
        <v>0.4624153690382136</v>
      </c>
      <c r="E27" s="405">
        <f>C27/'- 6 -'!C27</f>
        <v>3693.1524042379788</v>
      </c>
      <c r="F27" s="405">
        <v>0</v>
      </c>
      <c r="G27" s="351">
        <f>F27/'- 3 -'!E27</f>
        <v>0</v>
      </c>
      <c r="H27" s="405">
        <f>IF('- 6 -'!D27=0,"",F27/'- 6 -'!D27)</f>
      </c>
      <c r="I27" s="405">
        <v>0</v>
      </c>
      <c r="J27" s="351">
        <f>I27/'- 3 -'!E27</f>
        <v>0</v>
      </c>
      <c r="K27" s="405">
        <f>IF('- 6 -'!E27=0,"",I27/'- 6 -'!E27)</f>
      </c>
    </row>
    <row r="28" spans="1:11" ht="12.75">
      <c r="A28" s="13">
        <v>20</v>
      </c>
      <c r="B28" s="14" t="s">
        <v>133</v>
      </c>
      <c r="C28" s="406">
        <v>1878466</v>
      </c>
      <c r="D28" s="352">
        <f>C28/'- 3 -'!E28</f>
        <v>0.24850388954982874</v>
      </c>
      <c r="E28" s="406">
        <f>C28/'- 6 -'!C28</f>
        <v>4456.621589561091</v>
      </c>
      <c r="F28" s="406">
        <v>0</v>
      </c>
      <c r="G28" s="352">
        <f>F28/'- 3 -'!E28</f>
        <v>0</v>
      </c>
      <c r="H28" s="406">
        <f>IF('- 6 -'!D28=0,"",F28/'- 6 -'!D28)</f>
      </c>
      <c r="I28" s="406">
        <v>452887</v>
      </c>
      <c r="J28" s="352">
        <f>I28/'- 3 -'!E28</f>
        <v>0.05991281238337733</v>
      </c>
      <c r="K28" s="406">
        <f>IF('- 6 -'!E28=0,"",I28/'- 6 -'!E28)</f>
        <v>4252.460093896713</v>
      </c>
    </row>
    <row r="29" spans="1:11" ht="12.75">
      <c r="A29" s="11">
        <v>21</v>
      </c>
      <c r="B29" s="12" t="s">
        <v>134</v>
      </c>
      <c r="C29" s="405">
        <v>11724573</v>
      </c>
      <c r="D29" s="351">
        <f>C29/'- 3 -'!E29</f>
        <v>0.5256360584853168</v>
      </c>
      <c r="E29" s="405">
        <f>C29/'- 6 -'!C29</f>
        <v>3436.779422541404</v>
      </c>
      <c r="F29" s="405">
        <v>0</v>
      </c>
      <c r="G29" s="351">
        <f>F29/'- 3 -'!E29</f>
        <v>0</v>
      </c>
      <c r="H29" s="405">
        <f>IF('- 6 -'!D29=0,"",F29/'- 6 -'!D29)</f>
      </c>
      <c r="I29" s="405">
        <v>0</v>
      </c>
      <c r="J29" s="351">
        <f>I29/'- 3 -'!E29</f>
        <v>0</v>
      </c>
      <c r="K29" s="405">
        <f>IF('- 6 -'!E29=0,"",I29/'- 6 -'!E29)</f>
      </c>
    </row>
    <row r="30" spans="1:11" ht="12.75">
      <c r="A30" s="13">
        <v>22</v>
      </c>
      <c r="B30" s="14" t="s">
        <v>135</v>
      </c>
      <c r="C30" s="406">
        <v>5843274</v>
      </c>
      <c r="D30" s="352">
        <f>C30/'- 3 -'!E30</f>
        <v>0.49638331669597</v>
      </c>
      <c r="E30" s="406">
        <f>C30/'- 6 -'!C30</f>
        <v>3347.621884846749</v>
      </c>
      <c r="F30" s="406">
        <v>0</v>
      </c>
      <c r="G30" s="352">
        <f>F30/'- 3 -'!E30</f>
        <v>0</v>
      </c>
      <c r="H30" s="406">
        <f>IF('- 6 -'!D30=0,"",F30/'- 6 -'!D30)</f>
      </c>
      <c r="I30" s="406">
        <v>0</v>
      </c>
      <c r="J30" s="352">
        <f>I30/'- 3 -'!E30</f>
        <v>0</v>
      </c>
      <c r="K30" s="406">
        <f>IF('- 6 -'!E30=0,"",I30/'- 6 -'!E30)</f>
      </c>
    </row>
    <row r="31" spans="1:11" ht="12.75">
      <c r="A31" s="11">
        <v>23</v>
      </c>
      <c r="B31" s="12" t="s">
        <v>136</v>
      </c>
      <c r="C31" s="405">
        <v>4823819</v>
      </c>
      <c r="D31" s="351">
        <f>C31/'- 3 -'!E31</f>
        <v>0.4769298289671788</v>
      </c>
      <c r="E31" s="405">
        <f>C31/'- 6 -'!C31</f>
        <v>3443.1256245538902</v>
      </c>
      <c r="F31" s="405">
        <v>0</v>
      </c>
      <c r="G31" s="351">
        <f>F31/'- 3 -'!E31</f>
        <v>0</v>
      </c>
      <c r="H31" s="405">
        <f>IF('- 6 -'!D31=0,"",F31/'- 6 -'!D31)</f>
      </c>
      <c r="I31" s="405">
        <v>0</v>
      </c>
      <c r="J31" s="351">
        <f>I31/'- 3 -'!E31</f>
        <v>0</v>
      </c>
      <c r="K31" s="405">
        <f>IF('- 6 -'!E31=0,"",I31/'- 6 -'!E31)</f>
      </c>
    </row>
    <row r="32" spans="1:11" ht="12.75">
      <c r="A32" s="13">
        <v>24</v>
      </c>
      <c r="B32" s="14" t="s">
        <v>137</v>
      </c>
      <c r="C32" s="406">
        <v>10073294</v>
      </c>
      <c r="D32" s="352">
        <f>C32/'- 3 -'!E32</f>
        <v>0.44314904229501656</v>
      </c>
      <c r="E32" s="406">
        <f>C32/'- 6 -'!C32</f>
        <v>3415.1390018985626</v>
      </c>
      <c r="F32" s="406">
        <v>0</v>
      </c>
      <c r="G32" s="352">
        <f>F32/'- 3 -'!E32</f>
        <v>0</v>
      </c>
      <c r="H32" s="406">
        <f>IF('- 6 -'!D32=0,"",F32/'- 6 -'!D32)</f>
      </c>
      <c r="I32" s="406">
        <v>0</v>
      </c>
      <c r="J32" s="352">
        <f>I32/'- 3 -'!E32</f>
        <v>0</v>
      </c>
      <c r="K32" s="406">
        <f>IF('- 6 -'!E32=0,"",I32/'- 6 -'!E32)</f>
      </c>
    </row>
    <row r="33" spans="1:11" ht="12.75">
      <c r="A33" s="11">
        <v>25</v>
      </c>
      <c r="B33" s="12" t="s">
        <v>138</v>
      </c>
      <c r="C33" s="405">
        <v>5671123</v>
      </c>
      <c r="D33" s="351">
        <f>C33/'- 3 -'!E33</f>
        <v>0.539683121236408</v>
      </c>
      <c r="E33" s="405">
        <f>C33/'- 6 -'!C33</f>
        <v>3886.726749366048</v>
      </c>
      <c r="F33" s="405">
        <v>0</v>
      </c>
      <c r="G33" s="351">
        <f>F33/'- 3 -'!E33</f>
        <v>0</v>
      </c>
      <c r="H33" s="405">
        <f>IF('- 6 -'!D33=0,"",F33/'- 6 -'!D33)</f>
      </c>
      <c r="I33" s="405">
        <v>0</v>
      </c>
      <c r="J33" s="351">
        <f>I33/'- 3 -'!E33</f>
        <v>0</v>
      </c>
      <c r="K33" s="405">
        <f>IF('- 6 -'!E33=0,"",I33/'- 6 -'!E33)</f>
      </c>
    </row>
    <row r="34" spans="1:11" ht="12.75">
      <c r="A34" s="13">
        <v>26</v>
      </c>
      <c r="B34" s="14" t="s">
        <v>139</v>
      </c>
      <c r="C34" s="406">
        <v>9076777</v>
      </c>
      <c r="D34" s="352">
        <f>C34/'- 3 -'!E34</f>
        <v>0.5596257782901418</v>
      </c>
      <c r="E34" s="406">
        <f>C34/'- 6 -'!C34</f>
        <v>3314.869987583084</v>
      </c>
      <c r="F34" s="406">
        <v>0</v>
      </c>
      <c r="G34" s="352">
        <f>F34/'- 3 -'!E34</f>
        <v>0</v>
      </c>
      <c r="H34" s="406">
        <f>IF('- 6 -'!D34=0,"",F34/'- 6 -'!D34)</f>
      </c>
      <c r="I34" s="406">
        <v>0</v>
      </c>
      <c r="J34" s="352">
        <f>I34/'- 3 -'!E34</f>
        <v>0</v>
      </c>
      <c r="K34" s="406">
        <f>IF('- 6 -'!E34=0,"",I34/'- 6 -'!E34)</f>
      </c>
    </row>
    <row r="35" spans="1:11" ht="12.75">
      <c r="A35" s="11">
        <v>28</v>
      </c>
      <c r="B35" s="12" t="s">
        <v>140</v>
      </c>
      <c r="C35" s="405">
        <v>1967253</v>
      </c>
      <c r="D35" s="351">
        <f>C35/'- 3 -'!E35</f>
        <v>0.3088513385264552</v>
      </c>
      <c r="E35" s="405">
        <f>C35/'- 6 -'!C35</f>
        <v>4961.295773227076</v>
      </c>
      <c r="F35" s="405">
        <v>0</v>
      </c>
      <c r="G35" s="351">
        <f>F35/'- 3 -'!E35</f>
        <v>0</v>
      </c>
      <c r="H35" s="405">
        <f>IF('- 6 -'!D35=0,"",F35/'- 6 -'!D35)</f>
      </c>
      <c r="I35" s="405">
        <v>246945</v>
      </c>
      <c r="J35" s="351">
        <f>I35/'- 3 -'!E35</f>
        <v>0.03876943829411646</v>
      </c>
      <c r="K35" s="405">
        <f>IF('- 6 -'!E35=0,"",I35/'- 6 -'!E35)</f>
        <v>4048.27868852459</v>
      </c>
    </row>
    <row r="36" spans="1:11" ht="12.75">
      <c r="A36" s="13">
        <v>30</v>
      </c>
      <c r="B36" s="14" t="s">
        <v>141</v>
      </c>
      <c r="C36" s="406">
        <v>4882705</v>
      </c>
      <c r="D36" s="352">
        <f>C36/'- 3 -'!E36</f>
        <v>0.5284914472946487</v>
      </c>
      <c r="E36" s="406">
        <f>C36/'- 6 -'!C36</f>
        <v>3751.0217408004914</v>
      </c>
      <c r="F36" s="406">
        <v>0</v>
      </c>
      <c r="G36" s="352">
        <f>F36/'- 3 -'!E36</f>
        <v>0</v>
      </c>
      <c r="H36" s="406">
        <f>IF('- 6 -'!D36=0,"",F36/'- 6 -'!D36)</f>
      </c>
      <c r="I36" s="406">
        <v>0</v>
      </c>
      <c r="J36" s="352">
        <f>I36/'- 3 -'!E36</f>
        <v>0</v>
      </c>
      <c r="K36" s="406">
        <f>IF('- 6 -'!E36=0,"",I36/'- 6 -'!E36)</f>
      </c>
    </row>
    <row r="37" spans="1:11" ht="12.75">
      <c r="A37" s="11">
        <v>31</v>
      </c>
      <c r="B37" s="12" t="s">
        <v>142</v>
      </c>
      <c r="C37" s="405">
        <v>5930574</v>
      </c>
      <c r="D37" s="351">
        <f>C37/'- 3 -'!E37</f>
        <v>0.5512130532463028</v>
      </c>
      <c r="E37" s="405">
        <f>C37/'- 6 -'!C37</f>
        <v>3690.462974486621</v>
      </c>
      <c r="F37" s="405">
        <v>0</v>
      </c>
      <c r="G37" s="351">
        <f>F37/'- 3 -'!E37</f>
        <v>0</v>
      </c>
      <c r="H37" s="405">
        <f>IF('- 6 -'!D37=0,"",F37/'- 6 -'!D37)</f>
      </c>
      <c r="I37" s="405">
        <v>0</v>
      </c>
      <c r="J37" s="351">
        <f>I37/'- 3 -'!E37</f>
        <v>0</v>
      </c>
      <c r="K37" s="405">
        <f>IF('- 6 -'!E37=0,"",I37/'- 6 -'!E37)</f>
      </c>
    </row>
    <row r="38" spans="1:11" ht="12.75">
      <c r="A38" s="13">
        <v>32</v>
      </c>
      <c r="B38" s="14" t="s">
        <v>143</v>
      </c>
      <c r="C38" s="406">
        <v>2980541</v>
      </c>
      <c r="D38" s="352">
        <f>C38/'- 3 -'!E38</f>
        <v>0.4698670411064774</v>
      </c>
      <c r="E38" s="406">
        <f>C38/'- 6 -'!C38</f>
        <v>3792.0368956743005</v>
      </c>
      <c r="F38" s="406">
        <v>186949</v>
      </c>
      <c r="G38" s="352">
        <f>F38/'- 3 -'!E38</f>
        <v>0.029471553475632392</v>
      </c>
      <c r="H38" s="406">
        <f>IF('- 6 -'!D38=0,"",F38/'- 6 -'!D38)</f>
        <v>4347.6511627906975</v>
      </c>
      <c r="I38" s="406">
        <v>0</v>
      </c>
      <c r="J38" s="352">
        <f>I38/'- 3 -'!E38</f>
        <v>0</v>
      </c>
      <c r="K38" s="406">
        <f>IF('- 6 -'!E38=0,"",I38/'- 6 -'!E38)</f>
      </c>
    </row>
    <row r="39" spans="1:11" ht="12.75">
      <c r="A39" s="11">
        <v>33</v>
      </c>
      <c r="B39" s="12" t="s">
        <v>144</v>
      </c>
      <c r="C39" s="405">
        <v>4280729</v>
      </c>
      <c r="D39" s="351">
        <f>C39/'- 3 -'!E39</f>
        <v>0.3292608851994362</v>
      </c>
      <c r="E39" s="405">
        <f>C39/'- 6 -'!C39</f>
        <v>3299.2131021194605</v>
      </c>
      <c r="F39" s="405">
        <v>0</v>
      </c>
      <c r="G39" s="351">
        <f>F39/'- 3 -'!E39</f>
        <v>0</v>
      </c>
      <c r="H39" s="405">
        <f>IF('- 6 -'!D39=0,"",F39/'- 6 -'!D39)</f>
      </c>
      <c r="I39" s="405">
        <v>352170</v>
      </c>
      <c r="J39" s="351">
        <f>I39/'- 3 -'!E39</f>
        <v>0.027087864226089865</v>
      </c>
      <c r="K39" s="405">
        <f>IF('- 6 -'!E39=0,"",I39/'- 6 -'!E39)</f>
        <v>3469.655172413793</v>
      </c>
    </row>
    <row r="40" spans="1:11" ht="12.75">
      <c r="A40" s="13">
        <v>34</v>
      </c>
      <c r="B40" s="14" t="s">
        <v>145</v>
      </c>
      <c r="C40" s="406">
        <v>3159636.56</v>
      </c>
      <c r="D40" s="352">
        <f>C40/'- 3 -'!E40</f>
        <v>0.5458355099084384</v>
      </c>
      <c r="E40" s="406">
        <f>C40/'- 6 -'!C40</f>
        <v>4310.554652114598</v>
      </c>
      <c r="F40" s="406">
        <v>0</v>
      </c>
      <c r="G40" s="352">
        <f>F40/'- 3 -'!E40</f>
        <v>0</v>
      </c>
      <c r="H40" s="406">
        <f>IF('- 6 -'!D40=0,"",F40/'- 6 -'!D40)</f>
      </c>
      <c r="I40" s="406">
        <v>0</v>
      </c>
      <c r="J40" s="352">
        <f>I40/'- 3 -'!E40</f>
        <v>0</v>
      </c>
      <c r="K40" s="406">
        <f>IF('- 6 -'!E40=0,"",I40/'- 6 -'!E40)</f>
      </c>
    </row>
    <row r="41" spans="1:11" ht="12.75">
      <c r="A41" s="11">
        <v>35</v>
      </c>
      <c r="B41" s="12" t="s">
        <v>146</v>
      </c>
      <c r="C41" s="405">
        <v>5725140</v>
      </c>
      <c r="D41" s="351">
        <f>C41/'- 3 -'!E41</f>
        <v>0.41132423938346535</v>
      </c>
      <c r="E41" s="405">
        <f>C41/'- 6 -'!C41</f>
        <v>3868.599229677681</v>
      </c>
      <c r="F41" s="405">
        <v>0</v>
      </c>
      <c r="G41" s="351">
        <f>F41/'- 3 -'!E41</f>
        <v>0</v>
      </c>
      <c r="H41" s="405">
        <f>IF('- 6 -'!D41=0,"",F41/'- 6 -'!D41)</f>
      </c>
      <c r="I41" s="405">
        <v>0</v>
      </c>
      <c r="J41" s="351">
        <f>I41/'- 3 -'!E41</f>
        <v>0</v>
      </c>
      <c r="K41" s="405">
        <f>IF('- 6 -'!E41=0,"",I41/'- 6 -'!E41)</f>
      </c>
    </row>
    <row r="42" spans="1:11" ht="12.75">
      <c r="A42" s="13">
        <v>36</v>
      </c>
      <c r="B42" s="14" t="s">
        <v>147</v>
      </c>
      <c r="C42" s="406">
        <v>4130886</v>
      </c>
      <c r="D42" s="352">
        <f>C42/'- 3 -'!E42</f>
        <v>0.5154798812258651</v>
      </c>
      <c r="E42" s="406">
        <f>C42/'- 6 -'!C42</f>
        <v>4096.069410014874</v>
      </c>
      <c r="F42" s="406">
        <v>0</v>
      </c>
      <c r="G42" s="352">
        <f>F42/'- 3 -'!E42</f>
        <v>0</v>
      </c>
      <c r="H42" s="406">
        <f>IF('- 6 -'!D42=0,"",F42/'- 6 -'!D42)</f>
      </c>
      <c r="I42" s="406">
        <v>0</v>
      </c>
      <c r="J42" s="352">
        <f>I42/'- 3 -'!E42</f>
        <v>0</v>
      </c>
      <c r="K42" s="406">
        <f>IF('- 6 -'!E42=0,"",I42/'- 6 -'!E42)</f>
      </c>
    </row>
    <row r="43" spans="1:11" ht="12.75">
      <c r="A43" s="11">
        <v>37</v>
      </c>
      <c r="B43" s="12" t="s">
        <v>148</v>
      </c>
      <c r="C43" s="405">
        <v>3517971</v>
      </c>
      <c r="D43" s="351">
        <f>C43/'- 3 -'!E43</f>
        <v>0.5118977677194065</v>
      </c>
      <c r="E43" s="405">
        <f>C43/'- 6 -'!C43</f>
        <v>3861.6586169045004</v>
      </c>
      <c r="F43" s="405">
        <v>0</v>
      </c>
      <c r="G43" s="351">
        <f>F43/'- 3 -'!E43</f>
        <v>0</v>
      </c>
      <c r="H43" s="405">
        <f>IF('- 6 -'!D43=0,"",F43/'- 6 -'!D43)</f>
      </c>
      <c r="I43" s="405">
        <v>0</v>
      </c>
      <c r="J43" s="351">
        <f>I43/'- 3 -'!E43</f>
        <v>0</v>
      </c>
      <c r="K43" s="405">
        <f>IF('- 6 -'!E43=0,"",I43/'- 6 -'!E43)</f>
      </c>
    </row>
    <row r="44" spans="1:11" ht="12.75">
      <c r="A44" s="13">
        <v>38</v>
      </c>
      <c r="B44" s="14" t="s">
        <v>149</v>
      </c>
      <c r="C44" s="406">
        <v>4577345</v>
      </c>
      <c r="D44" s="352">
        <f>C44/'- 3 -'!E44</f>
        <v>0.5123690238566648</v>
      </c>
      <c r="E44" s="406">
        <f>C44/'- 6 -'!C44</f>
        <v>3918.9597602739727</v>
      </c>
      <c r="F44" s="406">
        <v>0</v>
      </c>
      <c r="G44" s="352">
        <f>F44/'- 3 -'!E44</f>
        <v>0</v>
      </c>
      <c r="H44" s="406">
        <f>IF('- 6 -'!D44=0,"",F44/'- 6 -'!D44)</f>
      </c>
      <c r="I44" s="406">
        <v>0</v>
      </c>
      <c r="J44" s="352">
        <f>I44/'- 3 -'!E44</f>
        <v>0</v>
      </c>
      <c r="K44" s="406">
        <f>IF('- 6 -'!E44=0,"",I44/'- 6 -'!E44)</f>
      </c>
    </row>
    <row r="45" spans="1:11" ht="12.75">
      <c r="A45" s="11">
        <v>39</v>
      </c>
      <c r="B45" s="12" t="s">
        <v>150</v>
      </c>
      <c r="C45" s="405">
        <v>8307280</v>
      </c>
      <c r="D45" s="351">
        <f>C45/'- 3 -'!E45</f>
        <v>0.556709436084479</v>
      </c>
      <c r="E45" s="405">
        <f>C45/'- 6 -'!C45</f>
        <v>3953.9647786768205</v>
      </c>
      <c r="F45" s="405">
        <v>0</v>
      </c>
      <c r="G45" s="351">
        <f>F45/'- 3 -'!E45</f>
        <v>0</v>
      </c>
      <c r="H45" s="405">
        <f>IF('- 6 -'!D45=0,"",F45/'- 6 -'!D45)</f>
      </c>
      <c r="I45" s="405">
        <v>0</v>
      </c>
      <c r="J45" s="351">
        <f>I45/'- 3 -'!E45</f>
        <v>0</v>
      </c>
      <c r="K45" s="405">
        <f>IF('- 6 -'!E45=0,"",I45/'- 6 -'!E45)</f>
      </c>
    </row>
    <row r="46" spans="1:11" ht="12.75">
      <c r="A46" s="13">
        <v>40</v>
      </c>
      <c r="B46" s="14" t="s">
        <v>151</v>
      </c>
      <c r="C46" s="406">
        <v>19290416</v>
      </c>
      <c r="D46" s="352">
        <f>C46/'- 3 -'!E46</f>
        <v>0.4305976877291212</v>
      </c>
      <c r="E46" s="406">
        <f>C46/'- 6 -'!C46</f>
        <v>3407.056995001678</v>
      </c>
      <c r="F46" s="406">
        <v>0</v>
      </c>
      <c r="G46" s="352">
        <f>F46/'- 3 -'!E46</f>
        <v>0</v>
      </c>
      <c r="H46" s="406">
        <f>IF('- 6 -'!D46=0,"",F46/'- 6 -'!D46)</f>
      </c>
      <c r="I46" s="406">
        <v>0</v>
      </c>
      <c r="J46" s="352">
        <f>I46/'- 3 -'!E46</f>
        <v>0</v>
      </c>
      <c r="K46" s="406">
        <f>IF('- 6 -'!E46=0,"",I46/'- 6 -'!E46)</f>
      </c>
    </row>
    <row r="47" spans="1:11" ht="12.75">
      <c r="A47" s="11">
        <v>41</v>
      </c>
      <c r="B47" s="12" t="s">
        <v>152</v>
      </c>
      <c r="C47" s="405">
        <v>6062731</v>
      </c>
      <c r="D47" s="351">
        <f>C47/'- 3 -'!E47</f>
        <v>0.493970047123558</v>
      </c>
      <c r="E47" s="405">
        <f>C47/'- 6 -'!C47</f>
        <v>3729.3049148059295</v>
      </c>
      <c r="F47" s="405">
        <v>0</v>
      </c>
      <c r="G47" s="351">
        <f>F47/'- 3 -'!E47</f>
        <v>0</v>
      </c>
      <c r="H47" s="405">
        <f>IF('- 6 -'!D47=0,"",F47/'- 6 -'!D47)</f>
      </c>
      <c r="I47" s="405">
        <v>0</v>
      </c>
      <c r="J47" s="351">
        <f>I47/'- 3 -'!E47</f>
        <v>0</v>
      </c>
      <c r="K47" s="405">
        <f>IF('- 6 -'!E47=0,"",I47/'- 6 -'!E47)</f>
      </c>
    </row>
    <row r="48" spans="1:11" ht="12.75">
      <c r="A48" s="13">
        <v>42</v>
      </c>
      <c r="B48" s="14" t="s">
        <v>153</v>
      </c>
      <c r="C48" s="406">
        <v>4327336</v>
      </c>
      <c r="D48" s="352">
        <f>C48/'- 3 -'!E48</f>
        <v>0.5598681158193998</v>
      </c>
      <c r="E48" s="406">
        <f>C48/'- 6 -'!C48</f>
        <v>4093.979186376537</v>
      </c>
      <c r="F48" s="406">
        <v>0</v>
      </c>
      <c r="G48" s="352">
        <f>F48/'- 3 -'!E48</f>
        <v>0</v>
      </c>
      <c r="H48" s="406">
        <f>IF('- 6 -'!D48=0,"",F48/'- 6 -'!D48)</f>
      </c>
      <c r="I48" s="406">
        <v>0</v>
      </c>
      <c r="J48" s="352">
        <f>I48/'- 3 -'!E48</f>
        <v>0</v>
      </c>
      <c r="K48" s="406">
        <f>IF('- 6 -'!E48=0,"",I48/'- 6 -'!E48)</f>
      </c>
    </row>
    <row r="49" spans="1:11" ht="12.75">
      <c r="A49" s="11">
        <v>43</v>
      </c>
      <c r="B49" s="12" t="s">
        <v>154</v>
      </c>
      <c r="C49" s="405">
        <v>3589419</v>
      </c>
      <c r="D49" s="351">
        <f>C49/'- 3 -'!E49</f>
        <v>0.5645116341246688</v>
      </c>
      <c r="E49" s="405">
        <f>C49/'- 6 -'!C49</f>
        <v>4610.685934489403</v>
      </c>
      <c r="F49" s="405">
        <v>0</v>
      </c>
      <c r="G49" s="351">
        <f>F49/'- 3 -'!E49</f>
        <v>0</v>
      </c>
      <c r="H49" s="405">
        <f>IF('- 6 -'!D49=0,"",F49/'- 6 -'!D49)</f>
      </c>
      <c r="I49" s="405">
        <v>0</v>
      </c>
      <c r="J49" s="351">
        <f>I49/'- 3 -'!E49</f>
        <v>0</v>
      </c>
      <c r="K49" s="405">
        <f>IF('- 6 -'!E49=0,"",I49/'- 6 -'!E49)</f>
      </c>
    </row>
    <row r="50" spans="1:11" ht="12.75">
      <c r="A50" s="13">
        <v>44</v>
      </c>
      <c r="B50" s="14" t="s">
        <v>155</v>
      </c>
      <c r="C50" s="406">
        <v>4785434</v>
      </c>
      <c r="D50" s="352">
        <f>C50/'- 3 -'!E50</f>
        <v>0.5172852736563855</v>
      </c>
      <c r="E50" s="406">
        <f>C50/'- 6 -'!C50</f>
        <v>3848.3586650583034</v>
      </c>
      <c r="F50" s="406">
        <v>0</v>
      </c>
      <c r="G50" s="352">
        <f>F50/'- 3 -'!E50</f>
        <v>0</v>
      </c>
      <c r="H50" s="406">
        <f>IF('- 6 -'!D50=0,"",F50/'- 6 -'!D50)</f>
      </c>
      <c r="I50" s="406">
        <v>0</v>
      </c>
      <c r="J50" s="352">
        <f>I50/'- 3 -'!E50</f>
        <v>0</v>
      </c>
      <c r="K50" s="406">
        <f>IF('- 6 -'!E50=0,"",I50/'- 6 -'!E50)</f>
      </c>
    </row>
    <row r="51" spans="1:11" ht="12.75">
      <c r="A51" s="11">
        <v>45</v>
      </c>
      <c r="B51" s="12" t="s">
        <v>156</v>
      </c>
      <c r="C51" s="405">
        <v>4189596</v>
      </c>
      <c r="D51" s="351">
        <f>C51/'- 3 -'!E51</f>
        <v>0.34741313129353135</v>
      </c>
      <c r="E51" s="405">
        <f>C51/'- 6 -'!C51</f>
        <v>3186.973984481972</v>
      </c>
      <c r="F51" s="405">
        <v>0</v>
      </c>
      <c r="G51" s="351">
        <f>F51/'- 3 -'!E51</f>
        <v>0</v>
      </c>
      <c r="H51" s="405">
        <f>IF('- 6 -'!D51=0,"",F51/'- 6 -'!D51)</f>
      </c>
      <c r="I51" s="405">
        <v>0</v>
      </c>
      <c r="J51" s="351">
        <f>I51/'- 3 -'!E51</f>
        <v>0</v>
      </c>
      <c r="K51" s="405">
        <f>IF('- 6 -'!E51=0,"",I51/'- 6 -'!E51)</f>
      </c>
    </row>
    <row r="52" spans="1:11" ht="12.75">
      <c r="A52" s="13">
        <v>46</v>
      </c>
      <c r="B52" s="14" t="s">
        <v>157</v>
      </c>
      <c r="C52" s="406">
        <v>4011710</v>
      </c>
      <c r="D52" s="352">
        <f>C52/'- 3 -'!E52</f>
        <v>0.36672893476934093</v>
      </c>
      <c r="E52" s="406">
        <f>C52/'- 6 -'!C52</f>
        <v>4079.428513321131</v>
      </c>
      <c r="F52" s="406">
        <v>0</v>
      </c>
      <c r="G52" s="352">
        <f>F52/'- 3 -'!E52</f>
        <v>0</v>
      </c>
      <c r="H52" s="406">
        <f>IF('- 6 -'!D52=0,"",F52/'- 6 -'!D52)</f>
      </c>
      <c r="I52" s="406">
        <v>0</v>
      </c>
      <c r="J52" s="352">
        <f>I52/'- 3 -'!E52</f>
        <v>0</v>
      </c>
      <c r="K52" s="406">
        <f>IF('- 6 -'!E52=0,"",I52/'- 6 -'!E52)</f>
      </c>
    </row>
    <row r="53" spans="1:11" ht="12.75">
      <c r="A53" s="11">
        <v>47</v>
      </c>
      <c r="B53" s="12" t="s">
        <v>158</v>
      </c>
      <c r="C53" s="405">
        <v>3216072</v>
      </c>
      <c r="D53" s="351">
        <f>C53/'- 3 -'!E53</f>
        <v>0.3492224545011117</v>
      </c>
      <c r="E53" s="405">
        <f>C53/'- 6 -'!C53</f>
        <v>3615.595278246206</v>
      </c>
      <c r="F53" s="405">
        <v>0</v>
      </c>
      <c r="G53" s="351">
        <f>F53/'- 3 -'!E53</f>
        <v>0</v>
      </c>
      <c r="H53" s="405">
        <f>IF('- 6 -'!D53=0,"",F53/'- 6 -'!D53)</f>
      </c>
      <c r="I53" s="405">
        <v>0</v>
      </c>
      <c r="J53" s="351">
        <f>I53/'- 3 -'!E53</f>
        <v>0</v>
      </c>
      <c r="K53" s="405">
        <f>IF('- 6 -'!E53=0,"",I53/'- 6 -'!E53)</f>
      </c>
    </row>
    <row r="54" spans="1:11" ht="12.75">
      <c r="A54" s="13">
        <v>48</v>
      </c>
      <c r="B54" s="14" t="s">
        <v>159</v>
      </c>
      <c r="C54" s="406">
        <v>23425280</v>
      </c>
      <c r="D54" s="352">
        <f>C54/'- 3 -'!E54</f>
        <v>0.3944028365416014</v>
      </c>
      <c r="E54" s="406">
        <f>C54/'- 6 -'!C54</f>
        <v>4498.114366911172</v>
      </c>
      <c r="F54" s="406">
        <v>0</v>
      </c>
      <c r="G54" s="352">
        <f>F54/'- 3 -'!E54</f>
        <v>0</v>
      </c>
      <c r="H54" s="406">
        <f>IF('- 6 -'!D54=0,"",F54/'- 6 -'!D54)</f>
      </c>
      <c r="I54" s="406">
        <v>0</v>
      </c>
      <c r="J54" s="352">
        <f>I54/'- 3 -'!E54</f>
        <v>0</v>
      </c>
      <c r="K54" s="406">
        <f>IF('- 6 -'!E54=0,"",I54/'- 6 -'!E54)</f>
      </c>
    </row>
    <row r="55" spans="1:11" ht="12.75">
      <c r="A55" s="11">
        <v>49</v>
      </c>
      <c r="B55" s="12" t="s">
        <v>160</v>
      </c>
      <c r="C55" s="405"/>
      <c r="D55" s="351"/>
      <c r="E55" s="405"/>
      <c r="F55" s="405">
        <v>18491500</v>
      </c>
      <c r="G55" s="351">
        <f>F55/'- 3 -'!E55</f>
        <v>0.5104840473148577</v>
      </c>
      <c r="H55" s="405">
        <f>IF('- 6 -'!D55=0,"",F55/'- 6 -'!D55)</f>
        <v>4386.861833364965</v>
      </c>
      <c r="I55" s="405">
        <v>0</v>
      </c>
      <c r="J55" s="351">
        <f>I55/'- 3 -'!E55</f>
        <v>0</v>
      </c>
      <c r="K55" s="405">
        <f>IF('- 6 -'!E55=0,"",I55/'- 6 -'!E55)</f>
      </c>
    </row>
    <row r="56" spans="1:11" ht="12.75">
      <c r="A56" s="13">
        <v>50</v>
      </c>
      <c r="B56" s="14" t="s">
        <v>343</v>
      </c>
      <c r="C56" s="406">
        <v>7392294</v>
      </c>
      <c r="D56" s="352">
        <f>C56/'- 3 -'!E56</f>
        <v>0.5128466728522174</v>
      </c>
      <c r="E56" s="406">
        <f>C56/'- 6 -'!C56</f>
        <v>4194.685354366453</v>
      </c>
      <c r="F56" s="406">
        <v>0</v>
      </c>
      <c r="G56" s="352">
        <f>F56/'- 3 -'!E56</f>
        <v>0</v>
      </c>
      <c r="H56" s="406">
        <f>IF('- 6 -'!D56=0,"",F56/'- 6 -'!D56)</f>
      </c>
      <c r="I56" s="406">
        <v>0</v>
      </c>
      <c r="J56" s="352">
        <f>I56/'- 3 -'!E56</f>
        <v>0</v>
      </c>
      <c r="K56" s="406">
        <f>IF('- 6 -'!E56=0,"",I56/'- 6 -'!E56)</f>
      </c>
    </row>
    <row r="57" spans="1:11" ht="12.75">
      <c r="A57" s="11">
        <v>2264</v>
      </c>
      <c r="B57" s="12" t="s">
        <v>161</v>
      </c>
      <c r="C57" s="405">
        <v>1111360</v>
      </c>
      <c r="D57" s="351">
        <f>C57/'- 3 -'!E57</f>
        <v>0.5279016840494075</v>
      </c>
      <c r="E57" s="405">
        <f>C57/'- 6 -'!C57</f>
        <v>5655.776081424937</v>
      </c>
      <c r="F57" s="405">
        <v>0</v>
      </c>
      <c r="G57" s="351">
        <f>F57/'- 3 -'!E57</f>
        <v>0</v>
      </c>
      <c r="H57" s="405">
        <f>IF('- 6 -'!D57=0,"",F57/'- 6 -'!D57)</f>
      </c>
      <c r="I57" s="405">
        <v>0</v>
      </c>
      <c r="J57" s="351">
        <f>I57/'- 3 -'!E57</f>
        <v>0</v>
      </c>
      <c r="K57" s="405">
        <f>IF('- 6 -'!E57=0,"",I57/'- 6 -'!E57)</f>
      </c>
    </row>
    <row r="58" spans="1:11" ht="12.75">
      <c r="A58" s="13">
        <v>2309</v>
      </c>
      <c r="B58" s="14" t="s">
        <v>162</v>
      </c>
      <c r="C58" s="406">
        <v>1189202</v>
      </c>
      <c r="D58" s="352">
        <f>C58/'- 3 -'!E58</f>
        <v>0.5249936649458276</v>
      </c>
      <c r="E58" s="406">
        <f>C58/'- 6 -'!C58</f>
        <v>4561.572688914462</v>
      </c>
      <c r="F58" s="406">
        <v>0</v>
      </c>
      <c r="G58" s="352">
        <f>F58/'- 3 -'!E58</f>
        <v>0</v>
      </c>
      <c r="H58" s="406">
        <f>IF('- 6 -'!D58=0,"",F58/'- 6 -'!D58)</f>
      </c>
      <c r="I58" s="406">
        <v>0</v>
      </c>
      <c r="J58" s="352">
        <f>I58/'- 3 -'!E58</f>
        <v>0</v>
      </c>
      <c r="K58" s="406">
        <f>IF('- 6 -'!E58=0,"",I58/'- 6 -'!E58)</f>
      </c>
    </row>
    <row r="59" spans="1:11" ht="12.75">
      <c r="A59" s="11">
        <v>2312</v>
      </c>
      <c r="B59" s="12" t="s">
        <v>163</v>
      </c>
      <c r="C59" s="405">
        <v>1008129</v>
      </c>
      <c r="D59" s="351">
        <f>C59/'- 3 -'!E59</f>
        <v>0.5004629186062501</v>
      </c>
      <c r="E59" s="405">
        <f>C59/'- 6 -'!C59</f>
        <v>5793.8448275862065</v>
      </c>
      <c r="F59" s="405">
        <v>0</v>
      </c>
      <c r="G59" s="351">
        <f>F59/'- 3 -'!E59</f>
        <v>0</v>
      </c>
      <c r="H59" s="405">
        <f>IF('- 6 -'!D59=0,"",F59/'- 6 -'!D59)</f>
      </c>
      <c r="I59" s="405">
        <v>0</v>
      </c>
      <c r="J59" s="351">
        <f>I59/'- 3 -'!E59</f>
        <v>0</v>
      </c>
      <c r="K59" s="405">
        <f>IF('- 6 -'!E59=0,"",I59/'- 6 -'!E59)</f>
      </c>
    </row>
    <row r="60" spans="1:11" ht="12.75">
      <c r="A60" s="13">
        <v>2355</v>
      </c>
      <c r="B60" s="14" t="s">
        <v>164</v>
      </c>
      <c r="C60" s="406">
        <v>10639791</v>
      </c>
      <c r="D60" s="352">
        <f>C60/'- 3 -'!E60</f>
        <v>0.42772848889336723</v>
      </c>
      <c r="E60" s="406">
        <f>C60/'- 6 -'!C60</f>
        <v>4013.500943040362</v>
      </c>
      <c r="F60" s="406">
        <v>0</v>
      </c>
      <c r="G60" s="352">
        <f>F60/'- 3 -'!E60</f>
        <v>0</v>
      </c>
      <c r="H60" s="406">
        <f>IF('- 6 -'!D60=0,"",F60/'- 6 -'!D60)</f>
      </c>
      <c r="I60" s="406">
        <v>0</v>
      </c>
      <c r="J60" s="352">
        <f>I60/'- 3 -'!E60</f>
        <v>0</v>
      </c>
      <c r="K60" s="406">
        <f>IF('- 6 -'!E60=0,"",I60/'- 6 -'!E60)</f>
      </c>
    </row>
    <row r="61" spans="1:11" ht="12.75">
      <c r="A61" s="11">
        <v>2439</v>
      </c>
      <c r="B61" s="12" t="s">
        <v>165</v>
      </c>
      <c r="C61" s="405">
        <v>596984.25</v>
      </c>
      <c r="D61" s="351">
        <f>C61/'- 3 -'!E61</f>
        <v>0.4272772932808157</v>
      </c>
      <c r="E61" s="405">
        <f>C61/'- 6 -'!C61</f>
        <v>3966.672757475083</v>
      </c>
      <c r="F61" s="405">
        <v>0</v>
      </c>
      <c r="G61" s="351">
        <f>F61/'- 3 -'!E61</f>
        <v>0</v>
      </c>
      <c r="H61" s="405">
        <f>IF('- 6 -'!D61=0,"",F61/'- 6 -'!D61)</f>
      </c>
      <c r="I61" s="405">
        <v>0</v>
      </c>
      <c r="J61" s="351">
        <f>I61/'- 3 -'!E61</f>
        <v>0</v>
      </c>
      <c r="K61" s="405">
        <f>IF('- 6 -'!E61=0,"",I61/'- 6 -'!E61)</f>
      </c>
    </row>
    <row r="62" spans="1:11" ht="12.75">
      <c r="A62" s="13">
        <v>2460</v>
      </c>
      <c r="B62" s="14" t="s">
        <v>166</v>
      </c>
      <c r="C62" s="406">
        <v>1689361</v>
      </c>
      <c r="D62" s="352">
        <f>C62/'- 3 -'!E62</f>
        <v>0.5112279680292061</v>
      </c>
      <c r="E62" s="406">
        <f>C62/'- 6 -'!C62</f>
        <v>6206.322556943424</v>
      </c>
      <c r="F62" s="406">
        <v>0</v>
      </c>
      <c r="G62" s="352">
        <f>F62/'- 3 -'!E62</f>
        <v>0</v>
      </c>
      <c r="H62" s="406">
        <f>IF('- 6 -'!D62=0,"",F62/'- 6 -'!D62)</f>
      </c>
      <c r="I62" s="406">
        <v>0</v>
      </c>
      <c r="J62" s="352">
        <f>I62/'- 3 -'!E62</f>
        <v>0</v>
      </c>
      <c r="K62" s="406">
        <f>IF('- 6 -'!E62=0,"",I62/'- 6 -'!E62)</f>
      </c>
    </row>
    <row r="63" spans="1:11" ht="12.75">
      <c r="A63" s="11">
        <v>3000</v>
      </c>
      <c r="B63" s="12" t="s">
        <v>366</v>
      </c>
      <c r="C63" s="405">
        <v>212180</v>
      </c>
      <c r="D63" s="351">
        <f>C63/'- 3 -'!E63</f>
        <v>0.03679279472991508</v>
      </c>
      <c r="E63" s="405">
        <f>C63/'- 6 -'!C63</f>
        <v>5910.306406685237</v>
      </c>
      <c r="F63" s="405">
        <v>0</v>
      </c>
      <c r="G63" s="351">
        <f>F63/'- 3 -'!E63</f>
        <v>0</v>
      </c>
      <c r="H63" s="405">
        <f>IF('- 6 -'!D63=0,"",F63/'- 6 -'!D63)</f>
      </c>
      <c r="I63" s="405">
        <v>0</v>
      </c>
      <c r="J63" s="351">
        <f>I63/'- 3 -'!E63</f>
        <v>0</v>
      </c>
      <c r="K63" s="405">
        <f>IF('- 6 -'!E63=0,"",I63/'- 6 -'!E63)</f>
      </c>
    </row>
    <row r="64" spans="1:11" ht="4.5" customHeight="1">
      <c r="A64" s="15"/>
      <c r="B64" s="15"/>
      <c r="C64" s="412"/>
      <c r="D64" s="194"/>
      <c r="E64" s="412"/>
      <c r="F64" s="412"/>
      <c r="G64" s="194"/>
      <c r="H64" s="412"/>
      <c r="I64" s="412"/>
      <c r="J64" s="194"/>
      <c r="K64" s="412"/>
    </row>
    <row r="65" spans="1:11" ht="12.75">
      <c r="A65" s="17"/>
      <c r="B65" s="18" t="s">
        <v>167</v>
      </c>
      <c r="C65" s="407">
        <f>SUM(C11:C63)</f>
        <v>499134117.14</v>
      </c>
      <c r="D65" s="100">
        <f>C65/'- 3 -'!E65</f>
        <v>0.3846707900321767</v>
      </c>
      <c r="E65" s="407">
        <f>C65/'- 6 -'!C65</f>
        <v>3750.6983113993974</v>
      </c>
      <c r="F65" s="407">
        <f>SUM(F11:F63)</f>
        <v>20764430</v>
      </c>
      <c r="G65" s="100">
        <f>F65/'- 3 -'!E65</f>
        <v>0.01600265222989648</v>
      </c>
      <c r="H65" s="407">
        <f>F65/'- 6 -'!D65</f>
        <v>4329.80169735388</v>
      </c>
      <c r="I65" s="407">
        <f>SUM(I11:I63)</f>
        <v>29833755.07</v>
      </c>
      <c r="J65" s="100">
        <f>I65/'- 3 -'!E65</f>
        <v>0.022992165308516575</v>
      </c>
      <c r="K65" s="407">
        <f>I65/'- 6 -'!E65</f>
        <v>3626.895591864522</v>
      </c>
    </row>
    <row r="66" spans="1:11" ht="4.5" customHeight="1">
      <c r="A66" s="15"/>
      <c r="B66" s="15"/>
      <c r="C66" s="412"/>
      <c r="D66" s="194"/>
      <c r="E66" s="412"/>
      <c r="F66" s="412"/>
      <c r="G66" s="194"/>
      <c r="H66" s="412"/>
      <c r="I66" s="412"/>
      <c r="J66" s="194"/>
      <c r="K66" s="412"/>
    </row>
    <row r="67" spans="1:11" ht="12.75">
      <c r="A67" s="13">
        <v>2155</v>
      </c>
      <c r="B67" s="14" t="s">
        <v>168</v>
      </c>
      <c r="C67" s="406">
        <v>762966.02</v>
      </c>
      <c r="D67" s="352">
        <f>C67/'- 3 -'!E67</f>
        <v>0.6376129309382544</v>
      </c>
      <c r="E67" s="406">
        <f>C67/'- 6 -'!C67</f>
        <v>5225.794657534247</v>
      </c>
      <c r="F67" s="406">
        <v>0</v>
      </c>
      <c r="G67" s="352">
        <f>F67/'- 3 -'!E67</f>
        <v>0</v>
      </c>
      <c r="H67" s="406">
        <f>IF('- 6 -'!D67=0,"",F67/'- 6 -'!D67)</f>
      </c>
      <c r="I67" s="406">
        <v>0</v>
      </c>
      <c r="J67" s="352">
        <f>I67/'- 3 -'!E67</f>
        <v>0</v>
      </c>
      <c r="K67" s="406">
        <f>IF('- 6 -'!E67=0,"",I67/'- 6 -'!E67)</f>
      </c>
    </row>
    <row r="68" spans="1:11" ht="12.75">
      <c r="A68" s="11">
        <v>2408</v>
      </c>
      <c r="B68" s="12" t="s">
        <v>170</v>
      </c>
      <c r="C68" s="405">
        <v>1214423</v>
      </c>
      <c r="D68" s="351">
        <f>C68/'- 3 -'!E68</f>
        <v>0.5664487173985645</v>
      </c>
      <c r="E68" s="405">
        <f>C68/'- 6 -'!C68</f>
        <v>4707.065891472868</v>
      </c>
      <c r="F68" s="405">
        <v>0</v>
      </c>
      <c r="G68" s="351">
        <f>F68/'- 3 -'!E68</f>
        <v>0</v>
      </c>
      <c r="H68" s="405">
        <f>IF('- 6 -'!D68=0,"",F68/'- 6 -'!D68)</f>
      </c>
      <c r="I68" s="405">
        <v>0</v>
      </c>
      <c r="J68" s="351">
        <f>I68/'- 3 -'!E68</f>
        <v>0</v>
      </c>
      <c r="K68" s="405">
        <f>IF('- 6 -'!E68=0,"",I68/'- 6 -'!E68)</f>
      </c>
    </row>
    <row r="69" spans="9:11" ht="6.75" customHeight="1">
      <c r="I69" s="87"/>
      <c r="J69" s="87"/>
      <c r="K69" s="87"/>
    </row>
    <row r="70" spans="1:11" ht="12" customHeight="1">
      <c r="A70" s="380" t="s">
        <v>354</v>
      </c>
      <c r="B70" s="53" t="s">
        <v>342</v>
      </c>
      <c r="C70" s="53"/>
      <c r="D70" s="53"/>
      <c r="E70" s="53"/>
      <c r="F70" s="53"/>
      <c r="G70" s="53"/>
      <c r="H70" s="53"/>
      <c r="I70" s="15"/>
      <c r="J70" s="87"/>
      <c r="K70" s="87"/>
    </row>
    <row r="71" spans="1:8" ht="12" customHeight="1">
      <c r="A71" s="4"/>
      <c r="B71" s="4"/>
      <c r="C71" s="4"/>
      <c r="D71" s="4"/>
      <c r="E71" s="4"/>
      <c r="F71" s="4"/>
      <c r="G71" s="4"/>
      <c r="H71" s="4"/>
    </row>
    <row r="72" spans="1:8" ht="12" customHeight="1">
      <c r="A72" s="4"/>
      <c r="B72" s="4"/>
      <c r="C72" s="4"/>
      <c r="D72" s="4"/>
      <c r="E72" s="4"/>
      <c r="F72" s="4"/>
      <c r="G72" s="4"/>
      <c r="H72" s="4"/>
    </row>
    <row r="73" spans="1:8" ht="12" customHeight="1">
      <c r="A73" s="4"/>
      <c r="B73" s="4"/>
      <c r="C73" s="4"/>
      <c r="D73" s="4"/>
      <c r="E73" s="4"/>
      <c r="F73" s="4"/>
      <c r="G73" s="4"/>
      <c r="H73" s="4"/>
    </row>
    <row r="74" spans="1:8" ht="12" customHeight="1">
      <c r="A74" s="4"/>
      <c r="B74" s="4"/>
      <c r="C74" s="4"/>
      <c r="D74" s="4"/>
      <c r="E74" s="4"/>
      <c r="F74" s="4"/>
      <c r="G74" s="4"/>
      <c r="H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0.83203125" style="79" customWidth="1"/>
    <col min="7" max="8" width="13.83203125" style="79" customWidth="1"/>
    <col min="9" max="9" width="14.83203125" style="79" customWidth="1"/>
    <col min="10" max="10" width="13.83203125" style="79" customWidth="1"/>
    <col min="11" max="16384" width="15.83203125" style="79" customWidth="1"/>
  </cols>
  <sheetData>
    <row r="1" spans="1:10" ht="6.75" customHeight="1">
      <c r="A1" s="15"/>
      <c r="B1" s="77"/>
      <c r="C1" s="78"/>
      <c r="D1" s="78"/>
      <c r="E1" s="78"/>
      <c r="F1" s="78"/>
      <c r="G1" s="78"/>
      <c r="H1" s="78"/>
      <c r="I1" s="78"/>
      <c r="J1" s="78"/>
    </row>
    <row r="2" spans="1:10" ht="12.75">
      <c r="A2" s="6"/>
      <c r="B2" s="80"/>
      <c r="C2" s="81" t="s">
        <v>0</v>
      </c>
      <c r="D2" s="81"/>
      <c r="E2" s="81"/>
      <c r="F2" s="81"/>
      <c r="G2" s="81"/>
      <c r="H2" s="81"/>
      <c r="I2" s="238"/>
      <c r="J2" s="82" t="s">
        <v>425</v>
      </c>
    </row>
    <row r="3" spans="1:10" ht="12.75">
      <c r="A3" s="7"/>
      <c r="B3" s="83"/>
      <c r="C3" s="84" t="str">
        <f>YEAR</f>
        <v>OPERATING FUND ACTUAL 2001/2002</v>
      </c>
      <c r="D3" s="84"/>
      <c r="E3" s="84"/>
      <c r="F3" s="84"/>
      <c r="G3" s="84"/>
      <c r="H3" s="84"/>
      <c r="I3" s="85"/>
      <c r="J3" s="239"/>
    </row>
    <row r="4" spans="1:10" ht="12.75">
      <c r="A4" s="8"/>
      <c r="C4" s="78"/>
      <c r="D4" s="78"/>
      <c r="E4" s="78"/>
      <c r="F4" s="78"/>
      <c r="G4" s="78"/>
      <c r="H4" s="78"/>
      <c r="I4" s="78"/>
      <c r="J4" s="78"/>
    </row>
    <row r="5" spans="1:10" ht="16.5">
      <c r="A5" s="8"/>
      <c r="C5" s="327" t="s">
        <v>330</v>
      </c>
      <c r="D5" s="240"/>
      <c r="E5" s="240"/>
      <c r="F5" s="240"/>
      <c r="G5" s="240"/>
      <c r="H5" s="240"/>
      <c r="I5" s="240"/>
      <c r="J5" s="86"/>
    </row>
    <row r="6" spans="1:10" ht="16.5">
      <c r="A6" s="8"/>
      <c r="C6" s="36" t="s">
        <v>405</v>
      </c>
      <c r="D6" s="37"/>
      <c r="E6" s="37"/>
      <c r="F6" s="37"/>
      <c r="G6" s="37"/>
      <c r="H6" s="37"/>
      <c r="I6" s="37"/>
      <c r="J6" s="38"/>
    </row>
    <row r="7" spans="3:10" ht="12.75">
      <c r="C7" s="92"/>
      <c r="D7" s="48"/>
      <c r="E7" s="48"/>
      <c r="F7" s="241" t="s">
        <v>302</v>
      </c>
      <c r="G7" s="242" t="s">
        <v>303</v>
      </c>
      <c r="H7" s="242"/>
      <c r="I7" s="242"/>
      <c r="J7" s="243"/>
    </row>
    <row r="8" spans="1:10" ht="12.75">
      <c r="A8" s="91"/>
      <c r="B8" s="43"/>
      <c r="C8" s="244"/>
      <c r="D8" s="245"/>
      <c r="E8" s="46" t="s">
        <v>76</v>
      </c>
      <c r="F8" s="246" t="s">
        <v>304</v>
      </c>
      <c r="G8" s="245"/>
      <c r="H8" s="247"/>
      <c r="I8" s="248" t="s">
        <v>88</v>
      </c>
      <c r="J8" s="245"/>
    </row>
    <row r="9" spans="1:10" ht="12.75">
      <c r="A9" s="49" t="s">
        <v>101</v>
      </c>
      <c r="B9" s="50" t="s">
        <v>102</v>
      </c>
      <c r="C9" s="93" t="s">
        <v>103</v>
      </c>
      <c r="D9" s="51" t="s">
        <v>104</v>
      </c>
      <c r="E9" s="51" t="s">
        <v>105</v>
      </c>
      <c r="F9" s="249" t="s">
        <v>109</v>
      </c>
      <c r="G9" s="51" t="s">
        <v>87</v>
      </c>
      <c r="H9" s="250" t="s">
        <v>40</v>
      </c>
      <c r="I9" s="51" t="s">
        <v>107</v>
      </c>
      <c r="J9" s="51" t="s">
        <v>58</v>
      </c>
    </row>
    <row r="10" spans="1:10" ht="4.5" customHeight="1">
      <c r="A10" s="74"/>
      <c r="B10" s="74"/>
      <c r="C10" s="87"/>
      <c r="D10" s="87"/>
      <c r="E10" s="87"/>
      <c r="F10" s="87"/>
      <c r="G10" s="87"/>
      <c r="H10" s="87"/>
      <c r="I10" s="87"/>
      <c r="J10" s="87"/>
    </row>
    <row r="11" spans="1:10" ht="12.75">
      <c r="A11" s="11">
        <v>1</v>
      </c>
      <c r="B11" s="12" t="s">
        <v>116</v>
      </c>
      <c r="C11" s="405">
        <v>18100091</v>
      </c>
      <c r="D11" s="351">
        <f>C11/'- 3 -'!E11</f>
        <v>0.07509364625664358</v>
      </c>
      <c r="E11" s="418">
        <f>IF(F11=0,"",C11/F11)</f>
        <v>3288.235262058316</v>
      </c>
      <c r="F11" s="343">
        <f>SUM('- 6 -'!F11:I11)</f>
        <v>5504.5</v>
      </c>
      <c r="G11" s="351">
        <f>IF(F11=0,"",'- 6 -'!F11/F11)</f>
        <v>0.6447452084658007</v>
      </c>
      <c r="H11" s="351">
        <f>IF(F11=0,"",'- 6 -'!G11/F11)</f>
        <v>0</v>
      </c>
      <c r="I11" s="351">
        <f>IF(F11=0,"",'- 6 -'!H11/F11)</f>
        <v>0.3015714415478245</v>
      </c>
      <c r="J11" s="351">
        <f>IF(F11=0,"",'- 6 -'!I11/F11)</f>
        <v>0.053683349986374786</v>
      </c>
    </row>
    <row r="12" spans="1:10" ht="12.75">
      <c r="A12" s="13">
        <v>2</v>
      </c>
      <c r="B12" s="14" t="s">
        <v>117</v>
      </c>
      <c r="C12" s="406">
        <v>5745187</v>
      </c>
      <c r="D12" s="352">
        <f>C12/'- 3 -'!E12</f>
        <v>0.09560717868222017</v>
      </c>
      <c r="E12" s="419">
        <f aca="true" t="shared" si="0" ref="E12:E63">IF(F12=0,"",C12/F12)</f>
        <v>4011.0497507575014</v>
      </c>
      <c r="F12" s="344">
        <f>SUM('- 6 -'!F12:I12)</f>
        <v>1432.3400000000001</v>
      </c>
      <c r="G12" s="352">
        <f>IF(F12=0,"",'- 6 -'!F12/F12)</f>
        <v>0.6397503386067553</v>
      </c>
      <c r="H12" s="352">
        <f>IF(F12=0,"",'- 6 -'!G12/F12)</f>
        <v>0</v>
      </c>
      <c r="I12" s="352">
        <f>IF(F12=0,"",'- 6 -'!H12/F12)</f>
        <v>0.3602496613932446</v>
      </c>
      <c r="J12" s="352">
        <f>IF(F12=0,"",'- 6 -'!I12/F12)</f>
        <v>0</v>
      </c>
    </row>
    <row r="13" spans="1:10" ht="12.75">
      <c r="A13" s="11">
        <v>3</v>
      </c>
      <c r="B13" s="12" t="s">
        <v>118</v>
      </c>
      <c r="C13" s="405">
        <v>8228330</v>
      </c>
      <c r="D13" s="351">
        <f>C13/'- 3 -'!E13</f>
        <v>0.19600408762184257</v>
      </c>
      <c r="E13" s="418">
        <f t="shared" si="0"/>
        <v>3584.548028751906</v>
      </c>
      <c r="F13" s="343">
        <f>SUM('- 6 -'!F13:I13)</f>
        <v>2295.5</v>
      </c>
      <c r="G13" s="351">
        <f>IF(F13=0,"",'- 6 -'!F13/F13)</f>
        <v>0.6262252232629056</v>
      </c>
      <c r="H13" s="351">
        <f>IF(F13=0,"",'- 6 -'!G13/F13)</f>
        <v>0</v>
      </c>
      <c r="I13" s="351">
        <f>IF(F13=0,"",'- 6 -'!H13/F13)</f>
        <v>0.3737747767370943</v>
      </c>
      <c r="J13" s="351">
        <f>IF(F13=0,"",'- 6 -'!I13/F13)</f>
        <v>0</v>
      </c>
    </row>
    <row r="14" spans="1:10" ht="12.75">
      <c r="A14" s="13">
        <v>4</v>
      </c>
      <c r="B14" s="14" t="s">
        <v>119</v>
      </c>
      <c r="C14" s="406">
        <v>0</v>
      </c>
      <c r="D14" s="352">
        <f>C14/'- 3 -'!E14</f>
        <v>0</v>
      </c>
      <c r="E14" s="419">
        <f t="shared" si="0"/>
      </c>
      <c r="F14" s="344">
        <f>SUM('- 6 -'!F14:I14)</f>
        <v>0</v>
      </c>
      <c r="G14" s="352">
        <f>IF(F14=0,"",'- 6 -'!F14/F14)</f>
      </c>
      <c r="H14" s="352">
        <f>IF(F14=0,"",'- 6 -'!G14/F14)</f>
      </c>
      <c r="I14" s="352">
        <f>IF(F14=0,"",'- 6 -'!H14/F14)</f>
      </c>
      <c r="J14" s="352">
        <f>IF(F14=0,"",'- 6 -'!I14/F14)</f>
      </c>
    </row>
    <row r="15" spans="1:10" ht="12.75">
      <c r="A15" s="11">
        <v>5</v>
      </c>
      <c r="B15" s="12" t="s">
        <v>120</v>
      </c>
      <c r="C15" s="405">
        <v>3524066</v>
      </c>
      <c r="D15" s="351">
        <f>C15/'- 3 -'!E15</f>
        <v>0.07011995540740881</v>
      </c>
      <c r="E15" s="418">
        <f t="shared" si="0"/>
        <v>3525.8289144572286</v>
      </c>
      <c r="F15" s="343">
        <f>SUM('- 6 -'!F15:I15)</f>
        <v>999.5</v>
      </c>
      <c r="G15" s="351">
        <f>IF(F15=0,"",'- 6 -'!F15/F15)</f>
        <v>0.8269134567283641</v>
      </c>
      <c r="H15" s="351">
        <f>IF(F15=0,"",'- 6 -'!G15/F15)</f>
        <v>0</v>
      </c>
      <c r="I15" s="351">
        <f>IF(F15=0,"",'- 6 -'!H15/F15)</f>
        <v>0.1730865432716358</v>
      </c>
      <c r="J15" s="351">
        <f>IF(F15=0,"",'- 6 -'!I15/F15)</f>
        <v>0</v>
      </c>
    </row>
    <row r="16" spans="1:10" ht="12.75">
      <c r="A16" s="13">
        <v>6</v>
      </c>
      <c r="B16" s="14" t="s">
        <v>121</v>
      </c>
      <c r="C16" s="406">
        <v>0</v>
      </c>
      <c r="D16" s="352">
        <f>C16/'- 3 -'!E16</f>
        <v>0</v>
      </c>
      <c r="E16" s="419">
        <f t="shared" si="0"/>
      </c>
      <c r="F16" s="344">
        <f>SUM('- 6 -'!F16:I16)</f>
        <v>0</v>
      </c>
      <c r="G16" s="352">
        <f>IF(F16=0,"",'- 6 -'!F16/F16)</f>
      </c>
      <c r="H16" s="352">
        <f>IF(F16=0,"",'- 6 -'!G16/F16)</f>
      </c>
      <c r="I16" s="352">
        <f>IF(F16=0,"",'- 6 -'!H16/F16)</f>
      </c>
      <c r="J16" s="352">
        <f>IF(F16=0,"",'- 6 -'!I16/F16)</f>
      </c>
    </row>
    <row r="17" spans="1:10" ht="12.75">
      <c r="A17" s="11">
        <v>9</v>
      </c>
      <c r="B17" s="12" t="s">
        <v>122</v>
      </c>
      <c r="C17" s="405">
        <v>15993444</v>
      </c>
      <c r="D17" s="351">
        <f>C17/'- 3 -'!E17</f>
        <v>0.19618638388741783</v>
      </c>
      <c r="E17" s="418">
        <f t="shared" si="0"/>
        <v>3398.883009244501</v>
      </c>
      <c r="F17" s="343">
        <f>SUM('- 6 -'!F17:I17)</f>
        <v>4705.5</v>
      </c>
      <c r="G17" s="351">
        <f>IF(F17=0,"",'- 6 -'!F17/F17)</f>
        <v>0.6198066092870046</v>
      </c>
      <c r="H17" s="351">
        <f>IF(F17=0,"",'- 6 -'!G17/F17)</f>
        <v>0</v>
      </c>
      <c r="I17" s="351">
        <f>IF(F17=0,"",'- 6 -'!H17/F17)</f>
        <v>0.2539581340983955</v>
      </c>
      <c r="J17" s="351">
        <f>IF(F17=0,"",'- 6 -'!I17/F17)</f>
        <v>0.12623525661459994</v>
      </c>
    </row>
    <row r="18" spans="1:10" ht="12.75">
      <c r="A18" s="13">
        <v>10</v>
      </c>
      <c r="B18" s="14" t="s">
        <v>123</v>
      </c>
      <c r="C18" s="406">
        <v>13311677.499999998</v>
      </c>
      <c r="D18" s="352">
        <f>C18/'- 3 -'!E18</f>
        <v>0.22215375871914794</v>
      </c>
      <c r="E18" s="419">
        <f t="shared" si="0"/>
        <v>3623.2110778443107</v>
      </c>
      <c r="F18" s="344">
        <f>SUM('- 6 -'!F18:I18)</f>
        <v>3674</v>
      </c>
      <c r="G18" s="352">
        <f>IF(F18=0,"",'- 6 -'!F18/F18)</f>
        <v>0.7592542188350572</v>
      </c>
      <c r="H18" s="352">
        <f>IF(F18=0,"",'- 6 -'!G18/F18)</f>
        <v>0</v>
      </c>
      <c r="I18" s="352">
        <f>IF(F18=0,"",'- 6 -'!H18/F18)</f>
        <v>0.18603701687534022</v>
      </c>
      <c r="J18" s="352">
        <f>IF(F18=0,"",'- 6 -'!I18/F18)</f>
        <v>0.05470876428960261</v>
      </c>
    </row>
    <row r="19" spans="1:10" ht="12.75">
      <c r="A19" s="11">
        <v>11</v>
      </c>
      <c r="B19" s="12" t="s">
        <v>124</v>
      </c>
      <c r="C19" s="405">
        <v>3884155</v>
      </c>
      <c r="D19" s="351">
        <f>C19/'- 3 -'!E19</f>
        <v>0.1201481115923546</v>
      </c>
      <c r="E19" s="418">
        <f t="shared" si="0"/>
        <v>3631.7484805984104</v>
      </c>
      <c r="F19" s="343">
        <f>SUM('- 6 -'!F19:I19)</f>
        <v>1069.5</v>
      </c>
      <c r="G19" s="351">
        <f>IF(F19=0,"",'- 6 -'!F19/F19)</f>
        <v>0.8354371201496026</v>
      </c>
      <c r="H19" s="351">
        <f>IF(F19=0,"",'- 6 -'!G19/F19)</f>
        <v>0</v>
      </c>
      <c r="I19" s="351">
        <f>IF(F19=0,"",'- 6 -'!H19/F19)</f>
        <v>0.056100981767180924</v>
      </c>
      <c r="J19" s="351">
        <f>IF(F19=0,"",'- 6 -'!I19/F19)</f>
        <v>0.10846189808321646</v>
      </c>
    </row>
    <row r="20" spans="1:10" ht="12.75">
      <c r="A20" s="13">
        <v>12</v>
      </c>
      <c r="B20" s="14" t="s">
        <v>125</v>
      </c>
      <c r="C20" s="406">
        <v>4278803</v>
      </c>
      <c r="D20" s="352">
        <f>C20/'- 3 -'!E20</f>
        <v>0.08260496110515275</v>
      </c>
      <c r="E20" s="419">
        <f t="shared" si="0"/>
        <v>3211.1091932457784</v>
      </c>
      <c r="F20" s="344">
        <f>SUM('- 6 -'!F20:I20)</f>
        <v>1332.5</v>
      </c>
      <c r="G20" s="352">
        <f>IF(F20=0,"",'- 6 -'!F20/F20)</f>
        <v>0.7793621013133208</v>
      </c>
      <c r="H20" s="352">
        <f>IF(F20=0,"",'- 6 -'!G20/F20)</f>
        <v>0</v>
      </c>
      <c r="I20" s="352">
        <f>IF(F20=0,"",'- 6 -'!H20/F20)</f>
        <v>0.16135084427767354</v>
      </c>
      <c r="J20" s="352">
        <f>IF(F20=0,"",'- 6 -'!I20/F20)</f>
        <v>0.05928705440900563</v>
      </c>
    </row>
    <row r="21" spans="1:10" ht="12.75">
      <c r="A21" s="11">
        <v>13</v>
      </c>
      <c r="B21" s="12" t="s">
        <v>126</v>
      </c>
      <c r="C21" s="405">
        <v>3206125</v>
      </c>
      <c r="D21" s="351">
        <f>C21/'- 3 -'!E21</f>
        <v>0.162184730311119</v>
      </c>
      <c r="E21" s="418">
        <f t="shared" si="0"/>
        <v>3478.4908321579687</v>
      </c>
      <c r="F21" s="343">
        <f>SUM('- 6 -'!F21:I21)</f>
        <v>921.7</v>
      </c>
      <c r="G21" s="351">
        <f>IF(F21=0,"",'- 6 -'!F21/F21)</f>
        <v>0.7355972659216664</v>
      </c>
      <c r="H21" s="351">
        <f>IF(F21=0,"",'- 6 -'!G21/F21)</f>
        <v>0</v>
      </c>
      <c r="I21" s="351">
        <f>IF(F21=0,"",'- 6 -'!H21/F21)</f>
        <v>0.2644027340783335</v>
      </c>
      <c r="J21" s="351">
        <f>IF(F21=0,"",'- 6 -'!I21/F21)</f>
        <v>0</v>
      </c>
    </row>
    <row r="22" spans="1:10" ht="12.75">
      <c r="A22" s="13">
        <v>14</v>
      </c>
      <c r="B22" s="14" t="s">
        <v>127</v>
      </c>
      <c r="C22" s="406">
        <v>4250999</v>
      </c>
      <c r="D22" s="352">
        <f>C22/'- 3 -'!E22</f>
        <v>0.18486394532921543</v>
      </c>
      <c r="E22" s="419">
        <f t="shared" si="0"/>
        <v>3319.7961733697775</v>
      </c>
      <c r="F22" s="344">
        <f>SUM('- 6 -'!F22:I22)</f>
        <v>1280.5</v>
      </c>
      <c r="G22" s="352">
        <f>IF(F22=0,"",'- 6 -'!F22/F22)</f>
        <v>0.6649746192893401</v>
      </c>
      <c r="H22" s="352">
        <f>IF(F22=0,"",'- 6 -'!G22/F22)</f>
        <v>0</v>
      </c>
      <c r="I22" s="352">
        <f>IF(F22=0,"",'- 6 -'!H22/F22)</f>
        <v>0.3350253807106599</v>
      </c>
      <c r="J22" s="352">
        <f>IF(F22=0,"",'- 6 -'!I22/F22)</f>
        <v>0</v>
      </c>
    </row>
    <row r="23" spans="1:10" ht="12.75">
      <c r="A23" s="11">
        <v>15</v>
      </c>
      <c r="B23" s="12" t="s">
        <v>128</v>
      </c>
      <c r="C23" s="405">
        <v>0</v>
      </c>
      <c r="D23" s="351">
        <f>C23/'- 3 -'!E23</f>
        <v>0</v>
      </c>
      <c r="E23" s="418">
        <f t="shared" si="0"/>
      </c>
      <c r="F23" s="343">
        <f>SUM('- 6 -'!F23:I23)</f>
        <v>0</v>
      </c>
      <c r="G23" s="351">
        <f>IF(F23=0,"",'- 6 -'!F23/F23)</f>
      </c>
      <c r="H23" s="351">
        <f>IF(F23=0,"",'- 6 -'!G23/F23)</f>
      </c>
      <c r="I23" s="351">
        <f>IF(F23=0,"",'- 6 -'!H23/F23)</f>
      </c>
      <c r="J23" s="351">
        <f>IF(F23=0,"",'- 6 -'!I23/F23)</f>
      </c>
    </row>
    <row r="24" spans="1:10" ht="12.75">
      <c r="A24" s="13">
        <v>16</v>
      </c>
      <c r="B24" s="14" t="s">
        <v>129</v>
      </c>
      <c r="C24" s="406">
        <v>0</v>
      </c>
      <c r="D24" s="352">
        <f>C24/'- 3 -'!E24</f>
        <v>0</v>
      </c>
      <c r="E24" s="419">
        <f t="shared" si="0"/>
      </c>
      <c r="F24" s="344">
        <f>SUM('- 6 -'!F24:I24)</f>
        <v>0</v>
      </c>
      <c r="G24" s="352">
        <f>IF(F24=0,"",'- 6 -'!F24/F24)</f>
      </c>
      <c r="H24" s="352">
        <f>IF(F24=0,"",'- 6 -'!G24/F24)</f>
      </c>
      <c r="I24" s="352">
        <f>IF(F24=0,"",'- 6 -'!H24/F24)</f>
      </c>
      <c r="J24" s="352">
        <f>IF(F24=0,"",'- 6 -'!I24/F24)</f>
      </c>
    </row>
    <row r="25" spans="1:10" ht="12.75">
      <c r="A25" s="11">
        <v>17</v>
      </c>
      <c r="B25" s="12" t="s">
        <v>130</v>
      </c>
      <c r="C25" s="405">
        <v>0</v>
      </c>
      <c r="D25" s="351">
        <f>C25/'- 3 -'!E25</f>
        <v>0</v>
      </c>
      <c r="E25" s="418">
        <f t="shared" si="0"/>
      </c>
      <c r="F25" s="343">
        <f>SUM('- 6 -'!F25:I25)</f>
        <v>0</v>
      </c>
      <c r="G25" s="351">
        <f>IF(F25=0,"",'- 6 -'!F25/F25)</f>
      </c>
      <c r="H25" s="351">
        <f>IF(F25=0,"",'- 6 -'!G25/F25)</f>
      </c>
      <c r="I25" s="351">
        <f>IF(F25=0,"",'- 6 -'!H25/F25)</f>
      </c>
      <c r="J25" s="351">
        <f>IF(F25=0,"",'- 6 -'!I25/F25)</f>
      </c>
    </row>
    <row r="26" spans="1:10" ht="12.75">
      <c r="A26" s="13">
        <v>18</v>
      </c>
      <c r="B26" s="14" t="s">
        <v>131</v>
      </c>
      <c r="C26" s="406">
        <v>0</v>
      </c>
      <c r="D26" s="352">
        <f>C26/'- 3 -'!E26</f>
        <v>0</v>
      </c>
      <c r="E26" s="419">
        <f t="shared" si="0"/>
      </c>
      <c r="F26" s="344">
        <f>SUM('- 6 -'!F26:I26)</f>
        <v>0</v>
      </c>
      <c r="G26" s="352">
        <f>IF(F26=0,"",'- 6 -'!F26/F26)</f>
      </c>
      <c r="H26" s="352">
        <f>IF(F26=0,"",'- 6 -'!G26/F26)</f>
      </c>
      <c r="I26" s="352">
        <f>IF(F26=0,"",'- 6 -'!H26/F26)</f>
      </c>
      <c r="J26" s="352">
        <f>IF(F26=0,"",'- 6 -'!I26/F26)</f>
      </c>
    </row>
    <row r="27" spans="1:10" ht="12.75">
      <c r="A27" s="11">
        <v>19</v>
      </c>
      <c r="B27" s="12" t="s">
        <v>132</v>
      </c>
      <c r="C27" s="405">
        <v>0</v>
      </c>
      <c r="D27" s="351">
        <f>C27/'- 3 -'!E27</f>
        <v>0</v>
      </c>
      <c r="E27" s="418">
        <f t="shared" si="0"/>
      </c>
      <c r="F27" s="343">
        <f>SUM('- 6 -'!F27:I27)</f>
        <v>0</v>
      </c>
      <c r="G27" s="351">
        <f>IF(F27=0,"",'- 6 -'!F27/F27)</f>
      </c>
      <c r="H27" s="351">
        <f>IF(F27=0,"",'- 6 -'!G27/F27)</f>
      </c>
      <c r="I27" s="351">
        <f>IF(F27=0,"",'- 6 -'!H27/F27)</f>
      </c>
      <c r="J27" s="351">
        <f>IF(F27=0,"",'- 6 -'!I27/F27)</f>
      </c>
    </row>
    <row r="28" spans="1:10" ht="12.75">
      <c r="A28" s="13">
        <v>20</v>
      </c>
      <c r="B28" s="14" t="s">
        <v>133</v>
      </c>
      <c r="C28" s="406">
        <v>1853982</v>
      </c>
      <c r="D28" s="352">
        <f>C28/'- 3 -'!E28</f>
        <v>0.24526488004327499</v>
      </c>
      <c r="E28" s="419">
        <f t="shared" si="0"/>
        <v>4440.675449101796</v>
      </c>
      <c r="F28" s="344">
        <f>SUM('- 6 -'!F28:I28)</f>
        <v>417.5</v>
      </c>
      <c r="G28" s="352">
        <f>IF(F28=0,"",'- 6 -'!F28/F28)</f>
        <v>0.6574850299401198</v>
      </c>
      <c r="H28" s="352">
        <f>IF(F28=0,"",'- 6 -'!G28/F28)</f>
        <v>0</v>
      </c>
      <c r="I28" s="352">
        <f>IF(F28=0,"",'- 6 -'!H28/F28)</f>
        <v>0.34251497005988024</v>
      </c>
      <c r="J28" s="352">
        <f>IF(F28=0,"",'- 6 -'!I28/F28)</f>
        <v>0</v>
      </c>
    </row>
    <row r="29" spans="1:10" ht="12.75">
      <c r="A29" s="11">
        <v>21</v>
      </c>
      <c r="B29" s="12" t="s">
        <v>134</v>
      </c>
      <c r="C29" s="405">
        <v>0</v>
      </c>
      <c r="D29" s="351">
        <f>C29/'- 3 -'!E29</f>
        <v>0</v>
      </c>
      <c r="E29" s="418">
        <f t="shared" si="0"/>
      </c>
      <c r="F29" s="343">
        <f>SUM('- 6 -'!F29:I29)</f>
        <v>0</v>
      </c>
      <c r="G29" s="351">
        <f>IF(F29=0,"",'- 6 -'!F29/F29)</f>
      </c>
      <c r="H29" s="351">
        <f>IF(F29=0,"",'- 6 -'!G29/F29)</f>
      </c>
      <c r="I29" s="351">
        <f>IF(F29=0,"",'- 6 -'!H29/F29)</f>
      </c>
      <c r="J29" s="351">
        <f>IF(F29=0,"",'- 6 -'!I29/F29)</f>
      </c>
    </row>
    <row r="30" spans="1:10" ht="12.75">
      <c r="A30" s="13">
        <v>22</v>
      </c>
      <c r="B30" s="14" t="s">
        <v>135</v>
      </c>
      <c r="C30" s="406">
        <v>0</v>
      </c>
      <c r="D30" s="352">
        <f>C30/'- 3 -'!E30</f>
        <v>0</v>
      </c>
      <c r="E30" s="419">
        <f t="shared" si="0"/>
      </c>
      <c r="F30" s="344">
        <f>SUM('- 6 -'!F30:I30)</f>
        <v>0</v>
      </c>
      <c r="G30" s="352">
        <f>IF(F30=0,"",'- 6 -'!F30/F30)</f>
      </c>
      <c r="H30" s="352">
        <f>IF(F30=0,"",'- 6 -'!G30/F30)</f>
      </c>
      <c r="I30" s="352">
        <f>IF(F30=0,"",'- 6 -'!H30/F30)</f>
      </c>
      <c r="J30" s="352">
        <f>IF(F30=0,"",'- 6 -'!I30/F30)</f>
      </c>
    </row>
    <row r="31" spans="1:10" ht="12.75">
      <c r="A31" s="11">
        <v>23</v>
      </c>
      <c r="B31" s="12" t="s">
        <v>136</v>
      </c>
      <c r="C31" s="405">
        <v>0</v>
      </c>
      <c r="D31" s="351">
        <f>C31/'- 3 -'!E31</f>
        <v>0</v>
      </c>
      <c r="E31" s="418">
        <f t="shared" si="0"/>
      </c>
      <c r="F31" s="343">
        <f>SUM('- 6 -'!F31:I31)</f>
        <v>0</v>
      </c>
      <c r="G31" s="351">
        <f>IF(F31=0,"",'- 6 -'!F31/F31)</f>
      </c>
      <c r="H31" s="351">
        <f>IF(F31=0,"",'- 6 -'!G31/F31)</f>
      </c>
      <c r="I31" s="351">
        <f>IF(F31=0,"",'- 6 -'!H31/F31)</f>
      </c>
      <c r="J31" s="351">
        <f>IF(F31=0,"",'- 6 -'!I31/F31)</f>
      </c>
    </row>
    <row r="32" spans="1:10" ht="12.75">
      <c r="A32" s="13">
        <v>24</v>
      </c>
      <c r="B32" s="14" t="s">
        <v>137</v>
      </c>
      <c r="C32" s="406">
        <v>1474348</v>
      </c>
      <c r="D32" s="352">
        <f>C32/'- 3 -'!E32</f>
        <v>0.06486020404145586</v>
      </c>
      <c r="E32" s="419">
        <f t="shared" si="0"/>
        <v>3011.946884576098</v>
      </c>
      <c r="F32" s="344">
        <f>SUM('- 6 -'!F32:I32)</f>
        <v>489.5</v>
      </c>
      <c r="G32" s="352">
        <f>IF(F32=0,"",'- 6 -'!F32/F32)</f>
        <v>0.5485188968335035</v>
      </c>
      <c r="H32" s="352">
        <f>IF(F32=0,"",'- 6 -'!G32/F32)</f>
        <v>0</v>
      </c>
      <c r="I32" s="352">
        <f>IF(F32=0,"",'- 6 -'!H32/F32)</f>
        <v>0.4514811031664964</v>
      </c>
      <c r="J32" s="352">
        <f>IF(F32=0,"",'- 6 -'!I32/F32)</f>
        <v>0</v>
      </c>
    </row>
    <row r="33" spans="1:10" ht="12.75">
      <c r="A33" s="11">
        <v>25</v>
      </c>
      <c r="B33" s="12" t="s">
        <v>138</v>
      </c>
      <c r="C33" s="405">
        <v>0</v>
      </c>
      <c r="D33" s="351">
        <f>C33/'- 3 -'!E33</f>
        <v>0</v>
      </c>
      <c r="E33" s="418">
        <f t="shared" si="0"/>
      </c>
      <c r="F33" s="343">
        <f>SUM('- 6 -'!F33:I33)</f>
        <v>0</v>
      </c>
      <c r="G33" s="351">
        <f>IF(F33=0,"",'- 6 -'!F33/F33)</f>
      </c>
      <c r="H33" s="351">
        <f>IF(F33=0,"",'- 6 -'!G33/F33)</f>
      </c>
      <c r="I33" s="351">
        <f>IF(F33=0,"",'- 6 -'!H33/F33)</f>
      </c>
      <c r="J33" s="351">
        <f>IF(F33=0,"",'- 6 -'!I33/F33)</f>
      </c>
    </row>
    <row r="34" spans="1:10" ht="12.75">
      <c r="A34" s="13">
        <v>26</v>
      </c>
      <c r="B34" s="14" t="s">
        <v>139</v>
      </c>
      <c r="C34" s="406">
        <v>0</v>
      </c>
      <c r="D34" s="352">
        <f>C34/'- 3 -'!E34</f>
        <v>0</v>
      </c>
      <c r="E34" s="419">
        <f t="shared" si="0"/>
      </c>
      <c r="F34" s="344">
        <f>SUM('- 6 -'!F34:I34)</f>
        <v>0</v>
      </c>
      <c r="G34" s="352">
        <f>IF(F34=0,"",'- 6 -'!F34/F34)</f>
      </c>
      <c r="H34" s="352">
        <f>IF(F34=0,"",'- 6 -'!G34/F34)</f>
      </c>
      <c r="I34" s="352">
        <f>IF(F34=0,"",'- 6 -'!H34/F34)</f>
      </c>
      <c r="J34" s="352">
        <f>IF(F34=0,"",'- 6 -'!I34/F34)</f>
      </c>
    </row>
    <row r="35" spans="1:10" ht="12.75">
      <c r="A35" s="11">
        <v>28</v>
      </c>
      <c r="B35" s="12" t="s">
        <v>140</v>
      </c>
      <c r="C35" s="405">
        <v>1585829</v>
      </c>
      <c r="D35" s="351">
        <f>C35/'- 3 -'!E35</f>
        <v>0.24896920188916724</v>
      </c>
      <c r="E35" s="418">
        <f t="shared" si="0"/>
        <v>3741.92779613025</v>
      </c>
      <c r="F35" s="343">
        <f>SUM('- 6 -'!F35:I35)</f>
        <v>423.8</v>
      </c>
      <c r="G35" s="351">
        <f>IF(F35=0,"",'- 6 -'!F35/F35)</f>
        <v>0.46319018404907975</v>
      </c>
      <c r="H35" s="351">
        <f>IF(F35=0,"",'- 6 -'!G35/F35)</f>
        <v>0.3857951864086833</v>
      </c>
      <c r="I35" s="351">
        <f>IF(F35=0,"",'- 6 -'!H35/F35)</f>
        <v>0.1510146295422369</v>
      </c>
      <c r="J35" s="351">
        <f>IF(F35=0,"",'- 6 -'!I35/F35)</f>
        <v>0</v>
      </c>
    </row>
    <row r="36" spans="1:10" ht="12.75">
      <c r="A36" s="13">
        <v>30</v>
      </c>
      <c r="B36" s="14" t="s">
        <v>141</v>
      </c>
      <c r="C36" s="406">
        <v>0</v>
      </c>
      <c r="D36" s="352">
        <f>C36/'- 3 -'!E36</f>
        <v>0</v>
      </c>
      <c r="E36" s="419">
        <f t="shared" si="0"/>
      </c>
      <c r="F36" s="344">
        <f>SUM('- 6 -'!F36:I36)</f>
        <v>0</v>
      </c>
      <c r="G36" s="352">
        <f>IF(F36=0,"",'- 6 -'!F36/F36)</f>
      </c>
      <c r="H36" s="352">
        <f>IF(F36=0,"",'- 6 -'!G36/F36)</f>
      </c>
      <c r="I36" s="352">
        <f>IF(F36=0,"",'- 6 -'!H36/F36)</f>
      </c>
      <c r="J36" s="352">
        <f>IF(F36=0,"",'- 6 -'!I36/F36)</f>
      </c>
    </row>
    <row r="37" spans="1:10" ht="12.75">
      <c r="A37" s="11">
        <v>31</v>
      </c>
      <c r="B37" s="12" t="s">
        <v>142</v>
      </c>
      <c r="C37" s="405">
        <v>0</v>
      </c>
      <c r="D37" s="351">
        <f>C37/'- 3 -'!E37</f>
        <v>0</v>
      </c>
      <c r="E37" s="418">
        <f t="shared" si="0"/>
      </c>
      <c r="F37" s="343">
        <f>SUM('- 6 -'!F37:I37)</f>
        <v>0</v>
      </c>
      <c r="G37" s="351">
        <f>IF(F37=0,"",'- 6 -'!F37/F37)</f>
      </c>
      <c r="H37" s="351">
        <f>IF(F37=0,"",'- 6 -'!G37/F37)</f>
      </c>
      <c r="I37" s="351">
        <f>IF(F37=0,"",'- 6 -'!H37/F37)</f>
      </c>
      <c r="J37" s="351">
        <f>IF(F37=0,"",'- 6 -'!I37/F37)</f>
      </c>
    </row>
    <row r="38" spans="1:10" ht="12.75">
      <c r="A38" s="13">
        <v>32</v>
      </c>
      <c r="B38" s="14" t="s">
        <v>143</v>
      </c>
      <c r="C38" s="406">
        <v>0</v>
      </c>
      <c r="D38" s="352">
        <f>C38/'- 3 -'!E38</f>
        <v>0</v>
      </c>
      <c r="E38" s="419">
        <f t="shared" si="0"/>
      </c>
      <c r="F38" s="344">
        <f>SUM('- 6 -'!F38:I38)</f>
        <v>0</v>
      </c>
      <c r="G38" s="352">
        <f>IF(F38=0,"",'- 6 -'!F38/F38)</f>
      </c>
      <c r="H38" s="352">
        <f>IF(F38=0,"",'- 6 -'!G38/F38)</f>
      </c>
      <c r="I38" s="352">
        <f>IF(F38=0,"",'- 6 -'!H38/F38)</f>
      </c>
      <c r="J38" s="352">
        <f>IF(F38=0,"",'- 6 -'!I38/F38)</f>
      </c>
    </row>
    <row r="39" spans="1:10" ht="12.75">
      <c r="A39" s="11">
        <v>33</v>
      </c>
      <c r="B39" s="12" t="s">
        <v>144</v>
      </c>
      <c r="C39" s="405">
        <v>1188487</v>
      </c>
      <c r="D39" s="351">
        <f>C39/'- 3 -'!E39</f>
        <v>0.09141486921223518</v>
      </c>
      <c r="E39" s="418">
        <f t="shared" si="0"/>
        <v>3362.05657708628</v>
      </c>
      <c r="F39" s="343">
        <f>SUM('- 6 -'!F39:I39)</f>
        <v>353.5</v>
      </c>
      <c r="G39" s="351">
        <f>IF(F39=0,"",'- 6 -'!F39/F39)</f>
        <v>0.6138613861386139</v>
      </c>
      <c r="H39" s="351">
        <f>IF(F39=0,"",'- 6 -'!G39/F39)</f>
        <v>0</v>
      </c>
      <c r="I39" s="351">
        <f>IF(F39=0,"",'- 6 -'!H39/F39)</f>
        <v>0.1074964639321075</v>
      </c>
      <c r="J39" s="351">
        <f>IF(F39=0,"",'- 6 -'!I39/F39)</f>
        <v>0.27864214992927866</v>
      </c>
    </row>
    <row r="40" spans="1:10" ht="12.75">
      <c r="A40" s="13">
        <v>34</v>
      </c>
      <c r="B40" s="14" t="s">
        <v>145</v>
      </c>
      <c r="C40" s="406">
        <v>0</v>
      </c>
      <c r="D40" s="352">
        <f>C40/'- 3 -'!E40</f>
        <v>0</v>
      </c>
      <c r="E40" s="419">
        <f t="shared" si="0"/>
      </c>
      <c r="F40" s="344">
        <f>SUM('- 6 -'!F40:I40)</f>
        <v>0</v>
      </c>
      <c r="G40" s="352">
        <f>IF(F40=0,"",'- 6 -'!F40/F40)</f>
      </c>
      <c r="H40" s="352">
        <f>IF(F40=0,"",'- 6 -'!G40/F40)</f>
      </c>
      <c r="I40" s="352">
        <f>IF(F40=0,"",'- 6 -'!H40/F40)</f>
      </c>
      <c r="J40" s="352">
        <f>IF(F40=0,"",'- 6 -'!I40/F40)</f>
      </c>
    </row>
    <row r="41" spans="1:10" ht="12.75">
      <c r="A41" s="11">
        <v>35</v>
      </c>
      <c r="B41" s="12" t="s">
        <v>146</v>
      </c>
      <c r="C41" s="405">
        <v>1043256</v>
      </c>
      <c r="D41" s="351">
        <f>C41/'- 3 -'!E41</f>
        <v>0.07495301087523389</v>
      </c>
      <c r="E41" s="418">
        <f t="shared" si="0"/>
        <v>3542.46519524618</v>
      </c>
      <c r="F41" s="343">
        <f>SUM('- 6 -'!F41:I41)</f>
        <v>294.5</v>
      </c>
      <c r="G41" s="351">
        <f>IF(F41=0,"",'- 6 -'!F41/F41)</f>
        <v>0.6179966044142614</v>
      </c>
      <c r="H41" s="351">
        <f>IF(F41=0,"",'- 6 -'!G41/F41)</f>
        <v>0</v>
      </c>
      <c r="I41" s="351">
        <f>IF(F41=0,"",'- 6 -'!H41/F41)</f>
        <v>0.38200339558573854</v>
      </c>
      <c r="J41" s="351">
        <f>IF(F41=0,"",'- 6 -'!I41/F41)</f>
        <v>0</v>
      </c>
    </row>
    <row r="42" spans="1:10" ht="12.75">
      <c r="A42" s="13">
        <v>36</v>
      </c>
      <c r="B42" s="14" t="s">
        <v>147</v>
      </c>
      <c r="C42" s="406">
        <v>0</v>
      </c>
      <c r="D42" s="352">
        <f>C42/'- 3 -'!E42</f>
        <v>0</v>
      </c>
      <c r="E42" s="419">
        <f t="shared" si="0"/>
      </c>
      <c r="F42" s="344">
        <f>SUM('- 6 -'!F42:I42)</f>
        <v>0</v>
      </c>
      <c r="G42" s="352">
        <f>IF(F42=0,"",'- 6 -'!F42/F42)</f>
      </c>
      <c r="H42" s="352">
        <f>IF(F42=0,"",'- 6 -'!G42/F42)</f>
      </c>
      <c r="I42" s="352">
        <f>IF(F42=0,"",'- 6 -'!H42/F42)</f>
      </c>
      <c r="J42" s="352">
        <f>IF(F42=0,"",'- 6 -'!I42/F42)</f>
      </c>
    </row>
    <row r="43" spans="1:10" ht="12.75">
      <c r="A43" s="11">
        <v>37</v>
      </c>
      <c r="B43" s="12" t="s">
        <v>148</v>
      </c>
      <c r="C43" s="405">
        <v>0</v>
      </c>
      <c r="D43" s="351">
        <f>C43/'- 3 -'!E43</f>
        <v>0</v>
      </c>
      <c r="E43" s="418">
        <f t="shared" si="0"/>
      </c>
      <c r="F43" s="343">
        <f>SUM('- 6 -'!F43:I43)</f>
        <v>0</v>
      </c>
      <c r="G43" s="351">
        <f>IF(F43=0,"",'- 6 -'!F43/F43)</f>
      </c>
      <c r="H43" s="351">
        <f>IF(F43=0,"",'- 6 -'!G43/F43)</f>
      </c>
      <c r="I43" s="351">
        <f>IF(F43=0,"",'- 6 -'!H43/F43)</f>
      </c>
      <c r="J43" s="351">
        <f>IF(F43=0,"",'- 6 -'!I43/F43)</f>
      </c>
    </row>
    <row r="44" spans="1:10" ht="12.75">
      <c r="A44" s="13">
        <v>38</v>
      </c>
      <c r="B44" s="14" t="s">
        <v>149</v>
      </c>
      <c r="C44" s="406">
        <v>0</v>
      </c>
      <c r="D44" s="352">
        <f>C44/'- 3 -'!E44</f>
        <v>0</v>
      </c>
      <c r="E44" s="419">
        <f t="shared" si="0"/>
      </c>
      <c r="F44" s="344">
        <f>SUM('- 6 -'!F44:I44)</f>
        <v>0</v>
      </c>
      <c r="G44" s="352">
        <f>IF(F44=0,"",'- 6 -'!F44/F44)</f>
      </c>
      <c r="H44" s="352">
        <f>IF(F44=0,"",'- 6 -'!G44/F44)</f>
      </c>
      <c r="I44" s="352">
        <f>IF(F44=0,"",'- 6 -'!H44/F44)</f>
      </c>
      <c r="J44" s="352">
        <f>IF(F44=0,"",'- 6 -'!I44/F44)</f>
      </c>
    </row>
    <row r="45" spans="1:10" ht="12.75">
      <c r="A45" s="11">
        <v>39</v>
      </c>
      <c r="B45" s="12" t="s">
        <v>150</v>
      </c>
      <c r="C45" s="405">
        <v>0</v>
      </c>
      <c r="D45" s="351">
        <f>C45/'- 3 -'!E45</f>
        <v>0</v>
      </c>
      <c r="E45" s="418">
        <f t="shared" si="0"/>
      </c>
      <c r="F45" s="343">
        <f>SUM('- 6 -'!F45:I45)</f>
        <v>0</v>
      </c>
      <c r="G45" s="351">
        <f>IF(F45=0,"",'- 6 -'!F45/F45)</f>
      </c>
      <c r="H45" s="351">
        <f>IF(F45=0,"",'- 6 -'!G45/F45)</f>
      </c>
      <c r="I45" s="351">
        <f>IF(F45=0,"",'- 6 -'!H45/F45)</f>
      </c>
      <c r="J45" s="351">
        <f>IF(F45=0,"",'- 6 -'!I45/F45)</f>
      </c>
    </row>
    <row r="46" spans="1:10" ht="12.75">
      <c r="A46" s="13">
        <v>40</v>
      </c>
      <c r="B46" s="14" t="s">
        <v>151</v>
      </c>
      <c r="C46" s="406">
        <v>3531387</v>
      </c>
      <c r="D46" s="352">
        <f>C46/'- 3 -'!E46</f>
        <v>0.07882707540763652</v>
      </c>
      <c r="E46" s="419">
        <f t="shared" si="0"/>
        <v>3006.7151979565774</v>
      </c>
      <c r="F46" s="344">
        <f>SUM('- 6 -'!F46:I46)</f>
        <v>1174.5</v>
      </c>
      <c r="G46" s="352">
        <f>IF(F46=0,"",'- 6 -'!F46/F46)</f>
        <v>0.5933588761174968</v>
      </c>
      <c r="H46" s="352">
        <f>IF(F46=0,"",'- 6 -'!G46/F46)</f>
        <v>0</v>
      </c>
      <c r="I46" s="352">
        <f>IF(F46=0,"",'- 6 -'!H46/F46)</f>
        <v>0.40664112388250323</v>
      </c>
      <c r="J46" s="352">
        <f>IF(F46=0,"",'- 6 -'!I46/F46)</f>
        <v>0</v>
      </c>
    </row>
    <row r="47" spans="1:10" ht="12.75">
      <c r="A47" s="11">
        <v>41</v>
      </c>
      <c r="B47" s="12" t="s">
        <v>152</v>
      </c>
      <c r="C47" s="405">
        <v>0</v>
      </c>
      <c r="D47" s="351">
        <f>C47/'- 3 -'!E47</f>
        <v>0</v>
      </c>
      <c r="E47" s="418">
        <f t="shared" si="0"/>
      </c>
      <c r="F47" s="343">
        <f>SUM('- 6 -'!F47:I47)</f>
        <v>0</v>
      </c>
      <c r="G47" s="351">
        <f>IF(F47=0,"",'- 6 -'!F47/F47)</f>
      </c>
      <c r="H47" s="351">
        <f>IF(F47=0,"",'- 6 -'!G47/F47)</f>
      </c>
      <c r="I47" s="351">
        <f>IF(F47=0,"",'- 6 -'!H47/F47)</f>
      </c>
      <c r="J47" s="351">
        <f>IF(F47=0,"",'- 6 -'!I47/F47)</f>
      </c>
    </row>
    <row r="48" spans="1:10" ht="12.75">
      <c r="A48" s="13">
        <v>42</v>
      </c>
      <c r="B48" s="14" t="s">
        <v>153</v>
      </c>
      <c r="C48" s="406">
        <v>0</v>
      </c>
      <c r="D48" s="352">
        <f>C48/'- 3 -'!E48</f>
        <v>0</v>
      </c>
      <c r="E48" s="419">
        <f t="shared" si="0"/>
      </c>
      <c r="F48" s="344">
        <f>SUM('- 6 -'!F48:I48)</f>
        <v>0</v>
      </c>
      <c r="G48" s="352">
        <f>IF(F48=0,"",'- 6 -'!F48/F48)</f>
      </c>
      <c r="H48" s="352">
        <f>IF(F48=0,"",'- 6 -'!G48/F48)</f>
      </c>
      <c r="I48" s="352">
        <f>IF(F48=0,"",'- 6 -'!H48/F48)</f>
      </c>
      <c r="J48" s="352">
        <f>IF(F48=0,"",'- 6 -'!I48/F48)</f>
      </c>
    </row>
    <row r="49" spans="1:10" ht="12.75">
      <c r="A49" s="11">
        <v>43</v>
      </c>
      <c r="B49" s="12" t="s">
        <v>154</v>
      </c>
      <c r="C49" s="405">
        <v>0</v>
      </c>
      <c r="D49" s="351">
        <f>C49/'- 3 -'!E49</f>
        <v>0</v>
      </c>
      <c r="E49" s="418">
        <f t="shared" si="0"/>
      </c>
      <c r="F49" s="343">
        <f>SUM('- 6 -'!F49:I49)</f>
        <v>0</v>
      </c>
      <c r="G49" s="351">
        <f>IF(F49=0,"",'- 6 -'!F49/F49)</f>
      </c>
      <c r="H49" s="351">
        <f>IF(F49=0,"",'- 6 -'!G49/F49)</f>
      </c>
      <c r="I49" s="351">
        <f>IF(F49=0,"",'- 6 -'!H49/F49)</f>
      </c>
      <c r="J49" s="351">
        <f>IF(F49=0,"",'- 6 -'!I49/F49)</f>
      </c>
    </row>
    <row r="50" spans="1:10" ht="12.75">
      <c r="A50" s="13">
        <v>44</v>
      </c>
      <c r="B50" s="14" t="s">
        <v>155</v>
      </c>
      <c r="C50" s="406">
        <v>0</v>
      </c>
      <c r="D50" s="352">
        <f>C50/'- 3 -'!E50</f>
        <v>0</v>
      </c>
      <c r="E50" s="419">
        <f t="shared" si="0"/>
      </c>
      <c r="F50" s="344">
        <f>SUM('- 6 -'!F50:I50)</f>
        <v>0</v>
      </c>
      <c r="G50" s="352">
        <f>IF(F50=0,"",'- 6 -'!F50/F50)</f>
      </c>
      <c r="H50" s="352">
        <f>IF(F50=0,"",'- 6 -'!G50/F50)</f>
      </c>
      <c r="I50" s="352">
        <f>IF(F50=0,"",'- 6 -'!H50/F50)</f>
      </c>
      <c r="J50" s="352">
        <f>IF(F50=0,"",'- 6 -'!I50/F50)</f>
      </c>
    </row>
    <row r="51" spans="1:10" ht="12.75">
      <c r="A51" s="11">
        <v>45</v>
      </c>
      <c r="B51" s="12" t="s">
        <v>156</v>
      </c>
      <c r="C51" s="405">
        <v>2099080</v>
      </c>
      <c r="D51" s="351">
        <f>C51/'- 3 -'!E51</f>
        <v>0.17406164117867828</v>
      </c>
      <c r="E51" s="418">
        <f t="shared" si="0"/>
        <v>3941.9342723004693</v>
      </c>
      <c r="F51" s="343">
        <f>SUM('- 6 -'!F51:I51)</f>
        <v>532.5</v>
      </c>
      <c r="G51" s="351">
        <f>IF(F51=0,"",'- 6 -'!F51/F51)</f>
        <v>0.67981220657277</v>
      </c>
      <c r="H51" s="351">
        <f>IF(F51=0,"",'- 6 -'!G51/F51)</f>
        <v>0</v>
      </c>
      <c r="I51" s="351">
        <f>IF(F51=0,"",'- 6 -'!H51/F51)</f>
        <v>0.32018779342723</v>
      </c>
      <c r="J51" s="351">
        <f>IF(F51=0,"",'- 6 -'!I51/F51)</f>
        <v>0</v>
      </c>
    </row>
    <row r="52" spans="1:10" ht="12.75">
      <c r="A52" s="13">
        <v>46</v>
      </c>
      <c r="B52" s="14" t="s">
        <v>157</v>
      </c>
      <c r="C52" s="406">
        <v>1741022</v>
      </c>
      <c r="D52" s="352">
        <f>C52/'- 3 -'!E52</f>
        <v>0.15915486001480353</v>
      </c>
      <c r="E52" s="419">
        <f t="shared" si="0"/>
        <v>4048.8883720930235</v>
      </c>
      <c r="F52" s="344">
        <f>SUM('- 6 -'!F52:I52)</f>
        <v>430</v>
      </c>
      <c r="G52" s="352">
        <f>IF(F52=0,"",'- 6 -'!F52/F52)</f>
        <v>0.7546511627906977</v>
      </c>
      <c r="H52" s="352">
        <f>IF(F52=0,"",'- 6 -'!G52/F52)</f>
        <v>0.2453488372093023</v>
      </c>
      <c r="I52" s="352">
        <f>IF(F52=0,"",'- 6 -'!H52/F52)</f>
        <v>0</v>
      </c>
      <c r="J52" s="352">
        <f>IF(F52=0,"",'- 6 -'!I52/F52)</f>
        <v>0</v>
      </c>
    </row>
    <row r="53" spans="1:10" ht="12.75">
      <c r="A53" s="11">
        <v>47</v>
      </c>
      <c r="B53" s="12" t="s">
        <v>158</v>
      </c>
      <c r="C53" s="405">
        <v>1668629</v>
      </c>
      <c r="D53" s="351">
        <f>C53/'- 3 -'!E53</f>
        <v>0.18119081756619115</v>
      </c>
      <c r="E53" s="418">
        <f t="shared" si="0"/>
        <v>3056.0970695970695</v>
      </c>
      <c r="F53" s="343">
        <f>SUM('- 6 -'!F53:I53)</f>
        <v>546</v>
      </c>
      <c r="G53" s="351">
        <f>IF(F53=0,"",'- 6 -'!F53/F53)</f>
        <v>0.8095238095238095</v>
      </c>
      <c r="H53" s="351">
        <f>IF(F53=0,"",'- 6 -'!G53/F53)</f>
        <v>0</v>
      </c>
      <c r="I53" s="351">
        <f>IF(F53=0,"",'- 6 -'!H53/F53)</f>
        <v>0.19047619047619047</v>
      </c>
      <c r="J53" s="351">
        <f>IF(F53=0,"",'- 6 -'!I53/F53)</f>
        <v>0</v>
      </c>
    </row>
    <row r="54" spans="1:10" ht="12.75">
      <c r="A54" s="13">
        <v>48</v>
      </c>
      <c r="B54" s="14" t="s">
        <v>159</v>
      </c>
      <c r="C54" s="406">
        <v>0</v>
      </c>
      <c r="D54" s="352">
        <f>C54/'- 3 -'!E54</f>
        <v>0</v>
      </c>
      <c r="E54" s="419">
        <f t="shared" si="0"/>
      </c>
      <c r="F54" s="344">
        <f>SUM('- 6 -'!F54:I54)</f>
        <v>0</v>
      </c>
      <c r="G54" s="352">
        <f>IF(F54=0,"",'- 6 -'!F54/F54)</f>
      </c>
      <c r="H54" s="352">
        <f>IF(F54=0,"",'- 6 -'!G54/F54)</f>
      </c>
      <c r="I54" s="352">
        <f>IF(F54=0,"",'- 6 -'!H54/F54)</f>
      </c>
      <c r="J54" s="352">
        <f>IF(F54=0,"",'- 6 -'!I54/F54)</f>
      </c>
    </row>
    <row r="55" spans="1:10" ht="12.75">
      <c r="A55" s="11">
        <v>49</v>
      </c>
      <c r="B55" s="12" t="s">
        <v>160</v>
      </c>
      <c r="C55" s="405">
        <v>0</v>
      </c>
      <c r="D55" s="351">
        <f>C55/'- 3 -'!E55</f>
        <v>0</v>
      </c>
      <c r="E55" s="418">
        <f t="shared" si="0"/>
      </c>
      <c r="F55" s="343">
        <f>SUM('- 6 -'!F55:I55)</f>
        <v>0</v>
      </c>
      <c r="G55" s="351">
        <f>IF(F55=0,"",'- 6 -'!F55/F55)</f>
      </c>
      <c r="H55" s="351">
        <f>IF(F55=0,"",'- 6 -'!G55/F55)</f>
      </c>
      <c r="I55" s="351">
        <f>IF(F55=0,"",'- 6 -'!H55/F55)</f>
      </c>
      <c r="J55" s="351">
        <f>IF(F55=0,"",'- 6 -'!I55/F55)</f>
      </c>
    </row>
    <row r="56" spans="1:10" ht="12.75">
      <c r="A56" s="13">
        <v>50</v>
      </c>
      <c r="B56" s="14" t="s">
        <v>343</v>
      </c>
      <c r="C56" s="406">
        <v>0</v>
      </c>
      <c r="D56" s="352">
        <f>C56/'- 3 -'!E56</f>
        <v>0</v>
      </c>
      <c r="E56" s="419">
        <f t="shared" si="0"/>
      </c>
      <c r="F56" s="344">
        <f>SUM('- 6 -'!F56:I56)</f>
        <v>0</v>
      </c>
      <c r="G56" s="352">
        <f>IF(F56=0,"",'- 6 -'!F56/F56)</f>
      </c>
      <c r="H56" s="352">
        <f>IF(F56=0,"",'- 6 -'!G56/F56)</f>
      </c>
      <c r="I56" s="352">
        <f>IF(F56=0,"",'- 6 -'!H56/F56)</f>
      </c>
      <c r="J56" s="352">
        <f>IF(F56=0,"",'- 6 -'!I56/F56)</f>
      </c>
    </row>
    <row r="57" spans="1:10" ht="12.75">
      <c r="A57" s="11">
        <v>2264</v>
      </c>
      <c r="B57" s="12" t="s">
        <v>161</v>
      </c>
      <c r="C57" s="405">
        <v>0</v>
      </c>
      <c r="D57" s="351">
        <f>C57/'- 3 -'!E57</f>
        <v>0</v>
      </c>
      <c r="E57" s="418">
        <f t="shared" si="0"/>
      </c>
      <c r="F57" s="343">
        <f>SUM('- 6 -'!F57:I57)</f>
        <v>0</v>
      </c>
      <c r="G57" s="351">
        <f>IF(F57=0,"",'- 6 -'!F57/F57)</f>
      </c>
      <c r="H57" s="351">
        <f>IF(F57=0,"",'- 6 -'!G57/F57)</f>
      </c>
      <c r="I57" s="351">
        <f>IF(F57=0,"",'- 6 -'!H57/F57)</f>
      </c>
      <c r="J57" s="351">
        <f>IF(F57=0,"",'- 6 -'!I57/F57)</f>
      </c>
    </row>
    <row r="58" spans="1:10" ht="12.75">
      <c r="A58" s="13">
        <v>2309</v>
      </c>
      <c r="B58" s="14" t="s">
        <v>162</v>
      </c>
      <c r="C58" s="406">
        <v>0</v>
      </c>
      <c r="D58" s="352">
        <f>C58/'- 3 -'!E58</f>
        <v>0</v>
      </c>
      <c r="E58" s="419">
        <f t="shared" si="0"/>
      </c>
      <c r="F58" s="344">
        <f>SUM('- 6 -'!F58:I58)</f>
        <v>0</v>
      </c>
      <c r="G58" s="352">
        <f>IF(F58=0,"",'- 6 -'!F58/F58)</f>
      </c>
      <c r="H58" s="352">
        <f>IF(F58=0,"",'- 6 -'!G58/F58)</f>
      </c>
      <c r="I58" s="352">
        <f>IF(F58=0,"",'- 6 -'!H58/F58)</f>
      </c>
      <c r="J58" s="352">
        <f>IF(F58=0,"",'- 6 -'!I58/F58)</f>
      </c>
    </row>
    <row r="59" spans="1:10" ht="12.75">
      <c r="A59" s="11">
        <v>2312</v>
      </c>
      <c r="B59" s="12" t="s">
        <v>163</v>
      </c>
      <c r="C59" s="405">
        <v>0</v>
      </c>
      <c r="D59" s="351">
        <f>C59/'- 3 -'!E59</f>
        <v>0</v>
      </c>
      <c r="E59" s="418">
        <f t="shared" si="0"/>
      </c>
      <c r="F59" s="343">
        <f>SUM('- 6 -'!F59:I59)</f>
        <v>0</v>
      </c>
      <c r="G59" s="351">
        <f>IF(F59=0,"",'- 6 -'!F59/F59)</f>
      </c>
      <c r="H59" s="351">
        <f>IF(F59=0,"",'- 6 -'!G59/F59)</f>
      </c>
      <c r="I59" s="351">
        <f>IF(F59=0,"",'- 6 -'!H59/F59)</f>
      </c>
      <c r="J59" s="351">
        <f>IF(F59=0,"",'- 6 -'!I59/F59)</f>
      </c>
    </row>
    <row r="60" spans="1:10" ht="12.75">
      <c r="A60" s="13">
        <v>2355</v>
      </c>
      <c r="B60" s="14" t="s">
        <v>164</v>
      </c>
      <c r="C60" s="406">
        <v>1702018</v>
      </c>
      <c r="D60" s="352">
        <f>C60/'- 3 -'!E60</f>
        <v>0.06842254581967927</v>
      </c>
      <c r="E60" s="419">
        <f t="shared" si="0"/>
        <v>4052.4238095238097</v>
      </c>
      <c r="F60" s="344">
        <f>SUM('- 6 -'!F60:I60)</f>
        <v>420</v>
      </c>
      <c r="G60" s="352">
        <f>IF(F60=0,"",'- 6 -'!F60/F60)</f>
        <v>0.5178571428571429</v>
      </c>
      <c r="H60" s="352">
        <f>IF(F60=0,"",'- 6 -'!G60/F60)</f>
        <v>0</v>
      </c>
      <c r="I60" s="352">
        <f>IF(F60=0,"",'- 6 -'!H60/F60)</f>
        <v>0.48214285714285715</v>
      </c>
      <c r="J60" s="352">
        <f>IF(F60=0,"",'- 6 -'!I60/F60)</f>
        <v>0</v>
      </c>
    </row>
    <row r="61" spans="1:10" ht="12.75">
      <c r="A61" s="11">
        <v>2439</v>
      </c>
      <c r="B61" s="12" t="s">
        <v>165</v>
      </c>
      <c r="C61" s="405">
        <v>0</v>
      </c>
      <c r="D61" s="351">
        <f>C61/'- 3 -'!E61</f>
        <v>0</v>
      </c>
      <c r="E61" s="418">
        <f t="shared" si="0"/>
      </c>
      <c r="F61" s="343">
        <f>SUM('- 6 -'!F61:I61)</f>
        <v>0</v>
      </c>
      <c r="G61" s="351">
        <f>IF(F61=0,"",'- 6 -'!F61/F61)</f>
      </c>
      <c r="H61" s="351">
        <f>IF(F61=0,"",'- 6 -'!G61/F61)</f>
      </c>
      <c r="I61" s="351">
        <f>IF(F61=0,"",'- 6 -'!H61/F61)</f>
      </c>
      <c r="J61" s="351">
        <f>IF(F61=0,"",'- 6 -'!I61/F61)</f>
      </c>
    </row>
    <row r="62" spans="1:10" ht="12.75">
      <c r="A62" s="13">
        <v>2460</v>
      </c>
      <c r="B62" s="14" t="s">
        <v>166</v>
      </c>
      <c r="C62" s="406">
        <v>0</v>
      </c>
      <c r="D62" s="352">
        <f>C62/'- 3 -'!E62</f>
        <v>0</v>
      </c>
      <c r="E62" s="419">
        <f t="shared" si="0"/>
      </c>
      <c r="F62" s="344">
        <f>SUM('- 6 -'!F62:I62)</f>
        <v>0</v>
      </c>
      <c r="G62" s="352">
        <f>IF(F62=0,"",'- 6 -'!F62/F62)</f>
      </c>
      <c r="H62" s="352">
        <f>IF(F62=0,"",'- 6 -'!G62/F62)</f>
      </c>
      <c r="I62" s="352">
        <f>IF(F62=0,"",'- 6 -'!H62/F62)</f>
      </c>
      <c r="J62" s="352">
        <f>IF(F62=0,"",'- 6 -'!I62/F62)</f>
      </c>
    </row>
    <row r="63" spans="1:10" ht="12.75">
      <c r="A63" s="11">
        <v>3000</v>
      </c>
      <c r="B63" s="12" t="s">
        <v>366</v>
      </c>
      <c r="C63" s="405">
        <v>0</v>
      </c>
      <c r="D63" s="351">
        <f>C63/'- 3 -'!E63</f>
        <v>0</v>
      </c>
      <c r="E63" s="418">
        <f t="shared" si="0"/>
      </c>
      <c r="F63" s="343">
        <f>SUM('- 6 -'!F63:I63)</f>
        <v>0</v>
      </c>
      <c r="G63" s="351">
        <f>IF(F63=0,"",'- 6 -'!F63/F63)</f>
      </c>
      <c r="H63" s="351">
        <f>IF(F63=0,"",'- 6 -'!G63/F63)</f>
      </c>
      <c r="I63" s="351">
        <f>IF(F63=0,"",'- 6 -'!H63/F63)</f>
      </c>
      <c r="J63" s="351">
        <f>IF(F63=0,"",'- 6 -'!I63/F63)</f>
      </c>
    </row>
    <row r="64" spans="1:10" ht="4.5" customHeight="1">
      <c r="A64" s="15"/>
      <c r="B64" s="15"/>
      <c r="C64" s="412"/>
      <c r="D64" s="194"/>
      <c r="E64" s="412"/>
      <c r="F64" s="15"/>
      <c r="G64" s="194"/>
      <c r="H64" s="194"/>
      <c r="I64" s="194"/>
      <c r="J64" s="194"/>
    </row>
    <row r="65" spans="1:10" ht="12.75">
      <c r="A65" s="17"/>
      <c r="B65" s="18" t="s">
        <v>167</v>
      </c>
      <c r="C65" s="407">
        <f>SUM(C11:C63)</f>
        <v>98410915.5</v>
      </c>
      <c r="D65" s="100">
        <f>C65/'- 3 -'!E65</f>
        <v>0.0758429514497739</v>
      </c>
      <c r="E65" s="420">
        <f>C65/F65</f>
        <v>3477.7443922290927</v>
      </c>
      <c r="F65" s="347">
        <f>SUM(F11:F63)</f>
        <v>28297.34</v>
      </c>
      <c r="G65" s="100">
        <f>'- 6 -'!F65/F65</f>
        <v>0.6741990589928241</v>
      </c>
      <c r="H65" s="100">
        <f>'- 6 -'!G65/F65</f>
        <v>0.009506193868398937</v>
      </c>
      <c r="I65" s="100">
        <f>'- 6 -'!H65/F65</f>
        <v>0.26738555638091777</v>
      </c>
      <c r="J65" s="100">
        <f>'- 6 -'!I65/F65</f>
        <v>0.04890919075785922</v>
      </c>
    </row>
    <row r="66" spans="1:10" ht="4.5" customHeight="1">
      <c r="A66" s="15"/>
      <c r="B66" s="15"/>
      <c r="C66" s="412"/>
      <c r="D66" s="194"/>
      <c r="E66" s="412"/>
      <c r="F66" s="15"/>
      <c r="G66" s="194"/>
      <c r="H66" s="194"/>
      <c r="I66" s="194"/>
      <c r="J66" s="194"/>
    </row>
    <row r="67" spans="1:10" ht="12.75">
      <c r="A67" s="13">
        <v>2155</v>
      </c>
      <c r="B67" s="14" t="s">
        <v>168</v>
      </c>
      <c r="C67" s="406">
        <v>0</v>
      </c>
      <c r="D67" s="352">
        <f>C67/'- 3 -'!E67</f>
        <v>0</v>
      </c>
      <c r="E67" s="419">
        <f>IF(F67=0,"",C67/F67)</f>
      </c>
      <c r="F67" s="340">
        <f>SUM('- 6 -'!F67:I67)</f>
        <v>0</v>
      </c>
      <c r="G67" s="352">
        <f>IF(F67=0,"",'- 6 -'!F67/F67)</f>
      </c>
      <c r="H67" s="352">
        <f>IF(F67=0,"",'- 6 -'!G67/F67)</f>
      </c>
      <c r="I67" s="352">
        <f>IF(F67=0,"",'- 6 -'!H67/F67)</f>
      </c>
      <c r="J67" s="352">
        <f>IF(F67=0,"",'- 6 -'!I67/F67)</f>
      </c>
    </row>
    <row r="68" spans="1:10" ht="12.75">
      <c r="A68" s="11">
        <v>2408</v>
      </c>
      <c r="B68" s="12" t="s">
        <v>170</v>
      </c>
      <c r="C68" s="405">
        <v>0</v>
      </c>
      <c r="D68" s="351">
        <f>C68/'- 3 -'!E68</f>
        <v>0</v>
      </c>
      <c r="E68" s="418">
        <f>IF(F68=0,"",C68/F68)</f>
      </c>
      <c r="F68" s="339">
        <f>SUM('- 6 -'!F68:I68)</f>
        <v>0</v>
      </c>
      <c r="G68" s="351">
        <f>IF(F68=0,"",'- 6 -'!F68/F68)</f>
      </c>
      <c r="H68" s="351">
        <f>IF(F68=0,"",'- 6 -'!G68/F68)</f>
      </c>
      <c r="I68" s="351">
        <f>IF(F68=0,"",'- 6 -'!H68/F68)</f>
      </c>
      <c r="J68" s="351">
        <f>IF(F68=0,"",'- 6 -'!I68/F68)</f>
      </c>
    </row>
    <row r="69" spans="3:10" ht="6.75" customHeight="1">
      <c r="C69" s="87"/>
      <c r="D69" s="87"/>
      <c r="E69" s="87"/>
      <c r="F69" s="87"/>
      <c r="G69" s="87"/>
      <c r="H69" s="87"/>
      <c r="I69" s="87"/>
      <c r="J69" s="87"/>
    </row>
    <row r="70" spans="1:10" ht="12" customHeight="1">
      <c r="A70" s="380" t="s">
        <v>354</v>
      </c>
      <c r="B70" s="53" t="s">
        <v>300</v>
      </c>
      <c r="D70" s="87"/>
      <c r="E70" s="87"/>
      <c r="F70" s="87"/>
      <c r="G70" s="87"/>
      <c r="H70" s="87"/>
      <c r="I70" s="87"/>
      <c r="J70" s="87"/>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0</v>
      </c>
      <c r="D2" s="196"/>
      <c r="E2" s="196"/>
      <c r="F2" s="196"/>
      <c r="G2" s="196"/>
      <c r="H2" s="211"/>
      <c r="I2" s="211"/>
      <c r="J2" s="235"/>
      <c r="K2" s="216" t="s">
        <v>426</v>
      </c>
    </row>
    <row r="3" spans="1:11" ht="12.75">
      <c r="A3" s="7"/>
      <c r="B3" s="83"/>
      <c r="C3" s="199" t="str">
        <f>YEAR</f>
        <v>OPERATING FUND ACTUAL 2001/2002</v>
      </c>
      <c r="D3" s="199"/>
      <c r="E3" s="199"/>
      <c r="F3" s="199"/>
      <c r="G3" s="199"/>
      <c r="H3" s="212"/>
      <c r="I3" s="212"/>
      <c r="J3" s="212"/>
      <c r="K3" s="217"/>
    </row>
    <row r="4" spans="1:11" ht="12.75">
      <c r="A4" s="8"/>
      <c r="C4" s="139"/>
      <c r="D4" s="139"/>
      <c r="E4" s="217"/>
      <c r="F4" s="139"/>
      <c r="G4" s="139"/>
      <c r="H4" s="139"/>
      <c r="I4" s="139"/>
      <c r="J4" s="139"/>
      <c r="K4" s="139"/>
    </row>
    <row r="5" spans="1:11" ht="16.5">
      <c r="A5" s="8"/>
      <c r="C5" s="330" t="s">
        <v>12</v>
      </c>
      <c r="D5" s="218"/>
      <c r="E5" s="230"/>
      <c r="F5" s="230"/>
      <c r="G5" s="230"/>
      <c r="H5" s="230"/>
      <c r="I5" s="230"/>
      <c r="J5" s="230"/>
      <c r="K5" s="231"/>
    </row>
    <row r="6" spans="1:11" ht="12.75">
      <c r="A6" s="8"/>
      <c r="C6" s="64" t="s">
        <v>15</v>
      </c>
      <c r="D6" s="62"/>
      <c r="E6" s="63"/>
      <c r="F6" s="222"/>
      <c r="G6" s="62"/>
      <c r="H6" s="63"/>
      <c r="I6" s="64" t="s">
        <v>16</v>
      </c>
      <c r="J6" s="62"/>
      <c r="K6" s="63"/>
    </row>
    <row r="7" spans="3:11" ht="16.5">
      <c r="C7" s="65" t="s">
        <v>42</v>
      </c>
      <c r="D7" s="66"/>
      <c r="E7" s="67"/>
      <c r="F7" s="65" t="s">
        <v>406</v>
      </c>
      <c r="G7" s="66"/>
      <c r="H7" s="67"/>
      <c r="I7" s="65" t="s">
        <v>43</v>
      </c>
      <c r="J7" s="66"/>
      <c r="K7" s="67"/>
    </row>
    <row r="8" spans="1:11" ht="12.75">
      <c r="A8" s="91"/>
      <c r="B8" s="43"/>
      <c r="C8" s="139"/>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1595673.09</v>
      </c>
      <c r="D11" s="351">
        <f>C11/'- 3 -'!E11</f>
        <v>0.006620127521000055</v>
      </c>
      <c r="E11" s="405">
        <f>C11/'- 7 -'!H11</f>
        <v>51.8188401373026</v>
      </c>
      <c r="F11" s="405">
        <v>72578</v>
      </c>
      <c r="G11" s="351">
        <f>F11/'- 3 -'!E11</f>
        <v>0.00030111156115263056</v>
      </c>
      <c r="H11" s="405">
        <f>F11/'- 7 -'!H11</f>
        <v>2.3569412826816225</v>
      </c>
      <c r="I11" s="405">
        <v>6719920</v>
      </c>
      <c r="J11" s="351">
        <f>I11/'- 3 -'!E11</f>
        <v>0.02787959990659408</v>
      </c>
      <c r="K11" s="405">
        <f>I11/'- 7 -'!H11</f>
        <v>218.22669217004997</v>
      </c>
    </row>
    <row r="12" spans="1:11" ht="12.75">
      <c r="A12" s="13">
        <v>2</v>
      </c>
      <c r="B12" s="14" t="s">
        <v>117</v>
      </c>
      <c r="C12" s="406">
        <v>252792</v>
      </c>
      <c r="D12" s="352">
        <f>C12/'- 3 -'!E12</f>
        <v>0.004206778632868834</v>
      </c>
      <c r="E12" s="406">
        <f>C12/'- 7 -'!H12</f>
        <v>27.65211056381244</v>
      </c>
      <c r="F12" s="406">
        <v>245518</v>
      </c>
      <c r="G12" s="352">
        <f>F12/'- 3 -'!E12</f>
        <v>0.00408573007209362</v>
      </c>
      <c r="H12" s="406">
        <f>F12/'- 7 -'!H12</f>
        <v>26.85643090527431</v>
      </c>
      <c r="I12" s="406">
        <v>1220428</v>
      </c>
      <c r="J12" s="352">
        <f>I12/'- 3 -'!E12</f>
        <v>0.020309465621360035</v>
      </c>
      <c r="K12" s="406">
        <f>I12/'- 7 -'!H12</f>
        <v>133.4987261905934</v>
      </c>
    </row>
    <row r="13" spans="1:11" ht="12.75">
      <c r="A13" s="11">
        <v>3</v>
      </c>
      <c r="B13" s="12" t="s">
        <v>118</v>
      </c>
      <c r="C13" s="405">
        <v>235740</v>
      </c>
      <c r="D13" s="351">
        <f>C13/'- 3 -'!E13</f>
        <v>0.0056154776991167304</v>
      </c>
      <c r="E13" s="405">
        <f>C13/'- 7 -'!H13</f>
        <v>40.27334073631161</v>
      </c>
      <c r="F13" s="405">
        <v>397736</v>
      </c>
      <c r="G13" s="351">
        <f>F13/'- 3 -'!E13</f>
        <v>0.009474326114091337</v>
      </c>
      <c r="H13" s="405">
        <f>F13/'- 7 -'!H13</f>
        <v>67.94840693602119</v>
      </c>
      <c r="I13" s="405">
        <v>737499</v>
      </c>
      <c r="J13" s="351">
        <f>I13/'- 3 -'!E13</f>
        <v>0.017567698259187622</v>
      </c>
      <c r="K13" s="405">
        <f>I13/'- 7 -'!H13</f>
        <v>125.99282480567182</v>
      </c>
    </row>
    <row r="14" spans="1:11" ht="12.75">
      <c r="A14" s="13">
        <v>4</v>
      </c>
      <c r="B14" s="14" t="s">
        <v>119</v>
      </c>
      <c r="C14" s="406">
        <v>211537.39</v>
      </c>
      <c r="D14" s="352">
        <f>C14/'- 3 -'!E14</f>
        <v>0.0050892364903181025</v>
      </c>
      <c r="E14" s="406">
        <f>C14/'- 7 -'!H14</f>
        <v>35.782230454345545</v>
      </c>
      <c r="F14" s="406">
        <v>2796</v>
      </c>
      <c r="G14" s="352">
        <f>F14/'- 3 -'!E14</f>
        <v>6.726709272024872E-05</v>
      </c>
      <c r="H14" s="406">
        <f>F14/'- 7 -'!H14</f>
        <v>0.4729524002841774</v>
      </c>
      <c r="I14" s="406">
        <v>754990</v>
      </c>
      <c r="J14" s="352">
        <f>I14/'- 3 -'!E14</f>
        <v>0.018163799117618232</v>
      </c>
      <c r="K14" s="406">
        <f>I14/'- 7 -'!H14</f>
        <v>127.7089888020569</v>
      </c>
    </row>
    <row r="15" spans="1:11" ht="12.75">
      <c r="A15" s="11">
        <v>5</v>
      </c>
      <c r="B15" s="12" t="s">
        <v>120</v>
      </c>
      <c r="C15" s="405">
        <v>282584</v>
      </c>
      <c r="D15" s="351">
        <f>C15/'- 3 -'!E15</f>
        <v>0.005622703286160705</v>
      </c>
      <c r="E15" s="405">
        <f>C15/'- 7 -'!H15</f>
        <v>39.17323980758834</v>
      </c>
      <c r="F15" s="405">
        <v>0</v>
      </c>
      <c r="G15" s="351">
        <f>F15/'- 3 -'!E15</f>
        <v>0</v>
      </c>
      <c r="H15" s="405">
        <f>F15/'- 7 -'!H15</f>
        <v>0</v>
      </c>
      <c r="I15" s="405">
        <v>756117</v>
      </c>
      <c r="J15" s="351">
        <f>I15/'- 3 -'!E15</f>
        <v>0.015044806289888931</v>
      </c>
      <c r="K15" s="405">
        <f>I15/'- 7 -'!H15</f>
        <v>104.81680690907578</v>
      </c>
    </row>
    <row r="16" spans="1:11" ht="12.75">
      <c r="A16" s="13">
        <v>6</v>
      </c>
      <c r="B16" s="14" t="s">
        <v>121</v>
      </c>
      <c r="C16" s="406">
        <v>148948</v>
      </c>
      <c r="D16" s="352">
        <f>C16/'- 3 -'!E16</f>
        <v>0.0025717848842872057</v>
      </c>
      <c r="E16" s="406">
        <f>C16/'- 7 -'!H16</f>
        <v>16.956739526411656</v>
      </c>
      <c r="F16" s="406">
        <v>143817</v>
      </c>
      <c r="G16" s="352">
        <f>F16/'- 3 -'!E16</f>
        <v>0.002483191360095691</v>
      </c>
      <c r="H16" s="406">
        <f>F16/'- 7 -'!H16</f>
        <v>16.372609289617486</v>
      </c>
      <c r="I16" s="406">
        <v>1241135</v>
      </c>
      <c r="J16" s="352">
        <f>I16/'- 3 -'!E16</f>
        <v>0.02142984284689825</v>
      </c>
      <c r="K16" s="406">
        <f>I16/'- 7 -'!H16</f>
        <v>141.29496812386157</v>
      </c>
    </row>
    <row r="17" spans="1:11" ht="12.75">
      <c r="A17" s="11">
        <v>9</v>
      </c>
      <c r="B17" s="12" t="s">
        <v>122</v>
      </c>
      <c r="C17" s="405">
        <v>339414</v>
      </c>
      <c r="D17" s="351">
        <f>C17/'- 3 -'!E17</f>
        <v>0.004163481317767707</v>
      </c>
      <c r="E17" s="405">
        <f>C17/'- 7 -'!H17</f>
        <v>27.07363181698533</v>
      </c>
      <c r="F17" s="405">
        <v>0</v>
      </c>
      <c r="G17" s="351">
        <f>F17/'- 3 -'!E17</f>
        <v>0</v>
      </c>
      <c r="H17" s="405">
        <f>F17/'- 7 -'!H17</f>
        <v>0</v>
      </c>
      <c r="I17" s="405">
        <v>1425212</v>
      </c>
      <c r="J17" s="351">
        <f>I17/'- 3 -'!E17</f>
        <v>0.01748261278514837</v>
      </c>
      <c r="K17" s="405">
        <f>I17/'- 7 -'!H17</f>
        <v>113.68318616541832</v>
      </c>
    </row>
    <row r="18" spans="1:11" ht="12.75">
      <c r="A18" s="13">
        <v>10</v>
      </c>
      <c r="B18" s="14" t="s">
        <v>123</v>
      </c>
      <c r="C18" s="406">
        <v>211354.98</v>
      </c>
      <c r="D18" s="352">
        <f>C18/'- 3 -'!E18</f>
        <v>0.0035272266197111783</v>
      </c>
      <c r="E18" s="406">
        <f>C18/'- 7 -'!H18</f>
        <v>24.67226755384346</v>
      </c>
      <c r="F18" s="406">
        <v>0</v>
      </c>
      <c r="G18" s="352">
        <f>F18/'- 3 -'!E18</f>
        <v>0</v>
      </c>
      <c r="H18" s="406">
        <f>F18/'- 7 -'!H18</f>
        <v>0</v>
      </c>
      <c r="I18" s="406">
        <v>1036047.13</v>
      </c>
      <c r="J18" s="352">
        <f>I18/'- 3 -'!E18</f>
        <v>0.017290214861326512</v>
      </c>
      <c r="K18" s="406">
        <f>I18/'- 7 -'!H18</f>
        <v>120.94170664798926</v>
      </c>
    </row>
    <row r="19" spans="1:11" ht="12.75">
      <c r="A19" s="11">
        <v>11</v>
      </c>
      <c r="B19" s="12" t="s">
        <v>124</v>
      </c>
      <c r="C19" s="405">
        <v>122262</v>
      </c>
      <c r="D19" s="351">
        <f>C19/'- 3 -'!E19</f>
        <v>0.0037819161231991147</v>
      </c>
      <c r="E19" s="405">
        <f>C19/'- 7 -'!H19</f>
        <v>25.92768529318206</v>
      </c>
      <c r="F19" s="405">
        <v>0</v>
      </c>
      <c r="G19" s="351">
        <f>F19/'- 3 -'!E19</f>
        <v>0</v>
      </c>
      <c r="H19" s="405">
        <f>F19/'- 7 -'!H19</f>
        <v>0</v>
      </c>
      <c r="I19" s="405">
        <v>653592</v>
      </c>
      <c r="J19" s="351">
        <f>I19/'- 3 -'!E19</f>
        <v>0.020217484768725816</v>
      </c>
      <c r="K19" s="405">
        <f>I19/'- 7 -'!H19</f>
        <v>138.60502597815713</v>
      </c>
    </row>
    <row r="20" spans="1:11" ht="12.75">
      <c r="A20" s="13">
        <v>12</v>
      </c>
      <c r="B20" s="14" t="s">
        <v>125</v>
      </c>
      <c r="C20" s="406">
        <v>109940</v>
      </c>
      <c r="D20" s="352">
        <f>C20/'- 3 -'!E20</f>
        <v>0.0021224602824435933</v>
      </c>
      <c r="E20" s="406">
        <f>C20/'- 7 -'!H20</f>
        <v>14.242777561860345</v>
      </c>
      <c r="F20" s="406">
        <v>0</v>
      </c>
      <c r="G20" s="352">
        <f>F20/'- 3 -'!E20</f>
        <v>0</v>
      </c>
      <c r="H20" s="406">
        <f>F20/'- 7 -'!H20</f>
        <v>0</v>
      </c>
      <c r="I20" s="406">
        <v>815121</v>
      </c>
      <c r="J20" s="352">
        <f>I20/'- 3 -'!E20</f>
        <v>0.01573641939135623</v>
      </c>
      <c r="K20" s="406">
        <f>I20/'- 7 -'!H20</f>
        <v>105.59930042751651</v>
      </c>
    </row>
    <row r="21" spans="1:11" ht="12.75">
      <c r="A21" s="11">
        <v>13</v>
      </c>
      <c r="B21" s="12" t="s">
        <v>126</v>
      </c>
      <c r="C21" s="405">
        <v>97027</v>
      </c>
      <c r="D21" s="351">
        <f>C21/'- 3 -'!E21</f>
        <v>0.0049081984725788735</v>
      </c>
      <c r="E21" s="405">
        <f>C21/'- 7 -'!H21</f>
        <v>36.28262657991175</v>
      </c>
      <c r="F21" s="405">
        <v>146565</v>
      </c>
      <c r="G21" s="351">
        <f>F21/'- 3 -'!E21</f>
        <v>0.007414122967148553</v>
      </c>
      <c r="H21" s="405">
        <f>F21/'- 7 -'!H21</f>
        <v>54.807045097599286</v>
      </c>
      <c r="I21" s="405">
        <v>241401</v>
      </c>
      <c r="J21" s="351">
        <f>I21/'- 3 -'!E21</f>
        <v>0.012211487724849916</v>
      </c>
      <c r="K21" s="405">
        <f>I21/'- 7 -'!H21</f>
        <v>90.2703612295266</v>
      </c>
    </row>
    <row r="22" spans="1:11" ht="12.75">
      <c r="A22" s="13">
        <v>14</v>
      </c>
      <c r="B22" s="14" t="s">
        <v>127</v>
      </c>
      <c r="C22" s="406">
        <v>140991</v>
      </c>
      <c r="D22" s="352">
        <f>C22/'- 3 -'!E22</f>
        <v>0.00613130055215525</v>
      </c>
      <c r="E22" s="406">
        <f>C22/'- 7 -'!H22</f>
        <v>40.10553264116057</v>
      </c>
      <c r="F22" s="406">
        <v>0</v>
      </c>
      <c r="G22" s="352">
        <f>F22/'- 3 -'!E22</f>
        <v>0</v>
      </c>
      <c r="H22" s="406">
        <f>F22/'- 7 -'!H22</f>
        <v>0</v>
      </c>
      <c r="I22" s="406">
        <v>335905</v>
      </c>
      <c r="J22" s="352">
        <f>I22/'- 3 -'!E22</f>
        <v>0.014607560141936074</v>
      </c>
      <c r="K22" s="406">
        <f>I22/'- 7 -'!H22</f>
        <v>95.54970843407766</v>
      </c>
    </row>
    <row r="23" spans="1:11" ht="12.75">
      <c r="A23" s="11">
        <v>15</v>
      </c>
      <c r="B23" s="12" t="s">
        <v>128</v>
      </c>
      <c r="C23" s="405">
        <v>198384</v>
      </c>
      <c r="D23" s="351">
        <f>C23/'- 3 -'!E23</f>
        <v>0.006201945310749554</v>
      </c>
      <c r="E23" s="405">
        <f>C23/'- 7 -'!H23</f>
        <v>33.0970970970971</v>
      </c>
      <c r="F23" s="405">
        <v>4049</v>
      </c>
      <c r="G23" s="351">
        <f>F23/'- 3 -'!E23</f>
        <v>0.00012658115857743036</v>
      </c>
      <c r="H23" s="405">
        <f>F23/'- 7 -'!H23</f>
        <v>0.6755088421755089</v>
      </c>
      <c r="I23" s="405">
        <v>438665</v>
      </c>
      <c r="J23" s="351">
        <f>I23/'- 3 -'!E23</f>
        <v>0.0137136883001651</v>
      </c>
      <c r="K23" s="405">
        <f>I23/'- 7 -'!H23</f>
        <v>73.18401735068402</v>
      </c>
    </row>
    <row r="24" spans="1:11" ht="12.75">
      <c r="A24" s="13">
        <v>16</v>
      </c>
      <c r="B24" s="14" t="s">
        <v>129</v>
      </c>
      <c r="C24" s="406">
        <v>28971</v>
      </c>
      <c r="D24" s="352">
        <f>C24/'- 3 -'!E24</f>
        <v>0.004687928252221705</v>
      </c>
      <c r="E24" s="406">
        <f>C24/'- 7 -'!H24</f>
        <v>34.456470028544246</v>
      </c>
      <c r="F24" s="406">
        <v>0</v>
      </c>
      <c r="G24" s="352">
        <f>F24/'- 3 -'!E24</f>
        <v>0</v>
      </c>
      <c r="H24" s="406">
        <f>F24/'- 7 -'!H24</f>
        <v>0</v>
      </c>
      <c r="I24" s="406">
        <v>78498</v>
      </c>
      <c r="J24" s="352">
        <f>I24/'- 3 -'!E24</f>
        <v>0.012702115630903298</v>
      </c>
      <c r="K24" s="406">
        <f>I24/'- 7 -'!H24</f>
        <v>93.36108468125595</v>
      </c>
    </row>
    <row r="25" spans="1:11" ht="12.75">
      <c r="A25" s="11">
        <v>17</v>
      </c>
      <c r="B25" s="12" t="s">
        <v>130</v>
      </c>
      <c r="C25" s="405">
        <v>21013</v>
      </c>
      <c r="D25" s="351">
        <f>C25/'- 3 -'!E25</f>
        <v>0.0050476757090437375</v>
      </c>
      <c r="E25" s="405">
        <f>C25/'- 7 -'!H25</f>
        <v>43.0594262295082</v>
      </c>
      <c r="F25" s="405">
        <v>0</v>
      </c>
      <c r="G25" s="351">
        <f>F25/'- 3 -'!E25</f>
        <v>0</v>
      </c>
      <c r="H25" s="405">
        <f>F25/'- 7 -'!H25</f>
        <v>0</v>
      </c>
      <c r="I25" s="405">
        <v>72984</v>
      </c>
      <c r="J25" s="351">
        <f>I25/'- 3 -'!E25</f>
        <v>0.01753198324603094</v>
      </c>
      <c r="K25" s="405">
        <f>I25/'- 7 -'!H25</f>
        <v>149.55737704918033</v>
      </c>
    </row>
    <row r="26" spans="1:11" ht="12.75">
      <c r="A26" s="13">
        <v>18</v>
      </c>
      <c r="B26" s="14" t="s">
        <v>131</v>
      </c>
      <c r="C26" s="406">
        <v>102458</v>
      </c>
      <c r="D26" s="352">
        <f>C26/'- 3 -'!E26</f>
        <v>0.010668403621359195</v>
      </c>
      <c r="E26" s="406">
        <f>C26/'- 7 -'!H26</f>
        <v>69.67562053723223</v>
      </c>
      <c r="F26" s="406">
        <v>17121</v>
      </c>
      <c r="G26" s="352">
        <f>F26/'- 3 -'!E26</f>
        <v>0.001782718171360858</v>
      </c>
      <c r="H26" s="406">
        <f>F26/'- 7 -'!H26</f>
        <v>11.642978578714724</v>
      </c>
      <c r="I26" s="406">
        <v>200964</v>
      </c>
      <c r="J26" s="352">
        <f>I26/'- 3 -'!E26</f>
        <v>0.020925306616982855</v>
      </c>
      <c r="K26" s="406">
        <f>I26/'- 7 -'!H26</f>
        <v>136.66371982318938</v>
      </c>
    </row>
    <row r="27" spans="1:11" ht="12.75">
      <c r="A27" s="11">
        <v>19</v>
      </c>
      <c r="B27" s="12" t="s">
        <v>132</v>
      </c>
      <c r="C27" s="405">
        <v>73391</v>
      </c>
      <c r="D27" s="351">
        <f>C27/'- 3 -'!E27</f>
        <v>0.004992775214595488</v>
      </c>
      <c r="E27" s="405">
        <f>C27/'- 7 -'!H27</f>
        <v>39.4893731503901</v>
      </c>
      <c r="F27" s="405">
        <v>0</v>
      </c>
      <c r="G27" s="351">
        <f>F27/'- 3 -'!E27</f>
        <v>0</v>
      </c>
      <c r="H27" s="405">
        <f>F27/'- 7 -'!H27</f>
        <v>0</v>
      </c>
      <c r="I27" s="405">
        <v>105009</v>
      </c>
      <c r="J27" s="351">
        <f>I27/'- 3 -'!E27</f>
        <v>0.00714374150113035</v>
      </c>
      <c r="K27" s="405">
        <f>I27/'- 7 -'!H27</f>
        <v>56.50201775625504</v>
      </c>
    </row>
    <row r="28" spans="1:11" ht="12.75">
      <c r="A28" s="13">
        <v>20</v>
      </c>
      <c r="B28" s="14" t="s">
        <v>133</v>
      </c>
      <c r="C28" s="406">
        <v>70292</v>
      </c>
      <c r="D28" s="352">
        <f>C28/'- 3 -'!E28</f>
        <v>0.009298989390405023</v>
      </c>
      <c r="E28" s="406">
        <f>C28/'- 7 -'!H28</f>
        <v>73.64274489261393</v>
      </c>
      <c r="F28" s="406">
        <v>0</v>
      </c>
      <c r="G28" s="352">
        <f>F28/'- 3 -'!E28</f>
        <v>0</v>
      </c>
      <c r="H28" s="406">
        <f>F28/'- 7 -'!H28</f>
        <v>0</v>
      </c>
      <c r="I28" s="406">
        <v>97697</v>
      </c>
      <c r="J28" s="352">
        <f>I28/'- 3 -'!E28</f>
        <v>0.012924420509793427</v>
      </c>
      <c r="K28" s="406">
        <f>I28/'- 7 -'!H28</f>
        <v>102.35411210057622</v>
      </c>
    </row>
    <row r="29" spans="1:11" ht="12.75">
      <c r="A29" s="11">
        <v>21</v>
      </c>
      <c r="B29" s="12" t="s">
        <v>134</v>
      </c>
      <c r="C29" s="405">
        <v>91730</v>
      </c>
      <c r="D29" s="351">
        <f>C29/'- 3 -'!E29</f>
        <v>0.004112439373686198</v>
      </c>
      <c r="E29" s="405">
        <f>C29/'- 7 -'!H29</f>
        <v>26.73174996357278</v>
      </c>
      <c r="F29" s="405">
        <v>0</v>
      </c>
      <c r="G29" s="351">
        <f>F29/'- 3 -'!E29</f>
        <v>0</v>
      </c>
      <c r="H29" s="405">
        <f>F29/'- 7 -'!H29</f>
        <v>0</v>
      </c>
      <c r="I29" s="405">
        <v>281944</v>
      </c>
      <c r="J29" s="351">
        <f>I29/'- 3 -'!E29</f>
        <v>0.012640113450066298</v>
      </c>
      <c r="K29" s="405">
        <f>I29/'- 7 -'!H29</f>
        <v>82.16348535625819</v>
      </c>
    </row>
    <row r="30" spans="1:11" ht="12.75">
      <c r="A30" s="13">
        <v>22</v>
      </c>
      <c r="B30" s="14" t="s">
        <v>135</v>
      </c>
      <c r="C30" s="406">
        <v>103515</v>
      </c>
      <c r="D30" s="352">
        <f>C30/'- 3 -'!E30</f>
        <v>0.008793549477190927</v>
      </c>
      <c r="E30" s="406">
        <f>C30/'- 7 -'!H30</f>
        <v>58.6321155480034</v>
      </c>
      <c r="F30" s="406">
        <v>0</v>
      </c>
      <c r="G30" s="352">
        <f>F30/'- 3 -'!E30</f>
        <v>0</v>
      </c>
      <c r="H30" s="406">
        <f>F30/'- 7 -'!H30</f>
        <v>0</v>
      </c>
      <c r="I30" s="406">
        <v>155739</v>
      </c>
      <c r="J30" s="352">
        <f>I30/'- 3 -'!E30</f>
        <v>0.013229953166480585</v>
      </c>
      <c r="K30" s="406">
        <f>I30/'- 7 -'!H30</f>
        <v>88.2124044180119</v>
      </c>
    </row>
    <row r="31" spans="1:11" ht="12.75">
      <c r="A31" s="11">
        <v>23</v>
      </c>
      <c r="B31" s="12" t="s">
        <v>136</v>
      </c>
      <c r="C31" s="405">
        <v>73561</v>
      </c>
      <c r="D31" s="351">
        <f>C31/'- 3 -'!E31</f>
        <v>0.007272958448203516</v>
      </c>
      <c r="E31" s="405">
        <f>C31/'- 7 -'!H31</f>
        <v>51.15507649513213</v>
      </c>
      <c r="F31" s="405">
        <v>0</v>
      </c>
      <c r="G31" s="351">
        <f>F31/'- 3 -'!E31</f>
        <v>0</v>
      </c>
      <c r="H31" s="405">
        <f>F31/'- 7 -'!H31</f>
        <v>0</v>
      </c>
      <c r="I31" s="405">
        <v>161396</v>
      </c>
      <c r="J31" s="351">
        <f>I31/'- 3 -'!E31</f>
        <v>0.01595718385702009</v>
      </c>
      <c r="K31" s="405">
        <f>I31/'- 7 -'!H31</f>
        <v>112.2364394993046</v>
      </c>
    </row>
    <row r="32" spans="1:11" ht="12.75">
      <c r="A32" s="13">
        <v>24</v>
      </c>
      <c r="B32" s="14" t="s">
        <v>137</v>
      </c>
      <c r="C32" s="406">
        <v>88947</v>
      </c>
      <c r="D32" s="352">
        <f>C32/'- 3 -'!E32</f>
        <v>0.003912997859986498</v>
      </c>
      <c r="E32" s="406">
        <f>C32/'- 7 -'!H32</f>
        <v>24.894206549118387</v>
      </c>
      <c r="F32" s="406">
        <v>440</v>
      </c>
      <c r="G32" s="352">
        <f>F32/'- 3 -'!E32</f>
        <v>1.935668497413133E-05</v>
      </c>
      <c r="H32" s="406">
        <f>F32/'- 7 -'!H32</f>
        <v>0.12314581584102995</v>
      </c>
      <c r="I32" s="406">
        <v>397543</v>
      </c>
      <c r="J32" s="352">
        <f>I32/'- 3 -'!E32</f>
        <v>0.01748889685152521</v>
      </c>
      <c r="K32" s="406">
        <f>I32/'- 7 -'!H32</f>
        <v>111.2630842429331</v>
      </c>
    </row>
    <row r="33" spans="1:11" ht="12.75">
      <c r="A33" s="11">
        <v>25</v>
      </c>
      <c r="B33" s="12" t="s">
        <v>138</v>
      </c>
      <c r="C33" s="405">
        <v>73787</v>
      </c>
      <c r="D33" s="351">
        <f>C33/'- 3 -'!E33</f>
        <v>0.007021818864918084</v>
      </c>
      <c r="E33" s="405">
        <f>C33/'- 7 -'!H33</f>
        <v>50.57021451579741</v>
      </c>
      <c r="F33" s="405">
        <v>4000</v>
      </c>
      <c r="G33" s="351">
        <f>F33/'- 3 -'!E33</f>
        <v>0.000380653441116624</v>
      </c>
      <c r="H33" s="405">
        <f>F33/'- 7 -'!H33</f>
        <v>2.741415941333699</v>
      </c>
      <c r="I33" s="405">
        <v>138576</v>
      </c>
      <c r="J33" s="351">
        <f>I33/'- 3 -'!E33</f>
        <v>0.013187357814044324</v>
      </c>
      <c r="K33" s="405">
        <f>I33/'- 7 -'!H33</f>
        <v>94.97361387156467</v>
      </c>
    </row>
    <row r="34" spans="1:11" ht="12.75">
      <c r="A34" s="13">
        <v>26</v>
      </c>
      <c r="B34" s="14" t="s">
        <v>139</v>
      </c>
      <c r="C34" s="406">
        <v>87686</v>
      </c>
      <c r="D34" s="352">
        <f>C34/'- 3 -'!E34</f>
        <v>0.005406252240762264</v>
      </c>
      <c r="E34" s="406">
        <f>C34/'- 7 -'!H34</f>
        <v>30.841686891069607</v>
      </c>
      <c r="F34" s="406">
        <v>18034</v>
      </c>
      <c r="G34" s="352">
        <f>F34/'- 3 -'!E34</f>
        <v>0.0011118804930080818</v>
      </c>
      <c r="H34" s="406">
        <f>F34/'- 7 -'!H34</f>
        <v>6.34307621961943</v>
      </c>
      <c r="I34" s="406">
        <v>223463</v>
      </c>
      <c r="J34" s="352">
        <f>I34/'- 3 -'!E34</f>
        <v>0.013777539681105967</v>
      </c>
      <c r="K34" s="406">
        <f>I34/'- 7 -'!H34</f>
        <v>78.59836094403995</v>
      </c>
    </row>
    <row r="35" spans="1:11" ht="12.75">
      <c r="A35" s="11">
        <v>28</v>
      </c>
      <c r="B35" s="12" t="s">
        <v>140</v>
      </c>
      <c r="C35" s="405">
        <v>38900</v>
      </c>
      <c r="D35" s="351">
        <f>C35/'- 3 -'!E35</f>
        <v>0.006107154020697443</v>
      </c>
      <c r="E35" s="405">
        <f>C35/'- 7 -'!H35</f>
        <v>44.138337947624024</v>
      </c>
      <c r="F35" s="405">
        <v>0</v>
      </c>
      <c r="G35" s="351">
        <f>F35/'- 3 -'!E35</f>
        <v>0</v>
      </c>
      <c r="H35" s="405">
        <f>F35/'- 7 -'!H35</f>
        <v>0</v>
      </c>
      <c r="I35" s="405">
        <v>66950</v>
      </c>
      <c r="J35" s="351">
        <f>I35/'- 3 -'!E35</f>
        <v>0.010510898757986989</v>
      </c>
      <c r="K35" s="405">
        <f>I35/'- 7 -'!H35</f>
        <v>75.96559705895703</v>
      </c>
    </row>
    <row r="36" spans="1:11" ht="12.75">
      <c r="A36" s="13">
        <v>30</v>
      </c>
      <c r="B36" s="14" t="s">
        <v>141</v>
      </c>
      <c r="C36" s="406">
        <v>91700</v>
      </c>
      <c r="D36" s="352">
        <f>C36/'- 3 -'!E36</f>
        <v>0.009925372455825057</v>
      </c>
      <c r="E36" s="406">
        <f>C36/'- 7 -'!H36</f>
        <v>70.44633940232004</v>
      </c>
      <c r="F36" s="406">
        <v>0</v>
      </c>
      <c r="G36" s="352">
        <f>F36/'- 3 -'!E36</f>
        <v>0</v>
      </c>
      <c r="H36" s="406">
        <f>F36/'- 7 -'!H36</f>
        <v>0</v>
      </c>
      <c r="I36" s="406">
        <v>167851</v>
      </c>
      <c r="J36" s="352">
        <f>I36/'- 3 -'!E36</f>
        <v>0.018167761091414304</v>
      </c>
      <c r="K36" s="406">
        <f>I36/'- 7 -'!H36</f>
        <v>128.947530152877</v>
      </c>
    </row>
    <row r="37" spans="1:11" ht="12.75">
      <c r="A37" s="11">
        <v>31</v>
      </c>
      <c r="B37" s="12" t="s">
        <v>142</v>
      </c>
      <c r="C37" s="405">
        <v>91144</v>
      </c>
      <c r="D37" s="351">
        <f>C37/'- 3 -'!E37</f>
        <v>0.008471315344025893</v>
      </c>
      <c r="E37" s="405">
        <f>C37/'- 7 -'!H37</f>
        <v>55.2053301029679</v>
      </c>
      <c r="F37" s="405">
        <v>0</v>
      </c>
      <c r="G37" s="351">
        <f>F37/'- 3 -'!E37</f>
        <v>0</v>
      </c>
      <c r="H37" s="405">
        <f>F37/'- 7 -'!H37</f>
        <v>0</v>
      </c>
      <c r="I37" s="405">
        <v>98075</v>
      </c>
      <c r="J37" s="351">
        <f>I37/'- 3 -'!E37</f>
        <v>0.009115512292255547</v>
      </c>
      <c r="K37" s="405">
        <f>I37/'- 7 -'!H37</f>
        <v>59.403391883706846</v>
      </c>
    </row>
    <row r="38" spans="1:11" ht="12.75">
      <c r="A38" s="13">
        <v>32</v>
      </c>
      <c r="B38" s="14" t="s">
        <v>143</v>
      </c>
      <c r="C38" s="406">
        <v>85005</v>
      </c>
      <c r="D38" s="352">
        <f>C38/'- 3 -'!E38</f>
        <v>0.013400603390208727</v>
      </c>
      <c r="E38" s="406">
        <f>C38/'- 7 -'!H38</f>
        <v>102.53920386007238</v>
      </c>
      <c r="F38" s="406">
        <v>0</v>
      </c>
      <c r="G38" s="352">
        <f>F38/'- 3 -'!E38</f>
        <v>0</v>
      </c>
      <c r="H38" s="406">
        <f>F38/'- 7 -'!H38</f>
        <v>0</v>
      </c>
      <c r="I38" s="406">
        <v>50305</v>
      </c>
      <c r="J38" s="352">
        <f>I38/'- 3 -'!E38</f>
        <v>0.007930325904881479</v>
      </c>
      <c r="K38" s="406">
        <f>I38/'- 7 -'!H38</f>
        <v>60.68154402895054</v>
      </c>
    </row>
    <row r="39" spans="1:11" ht="12.75">
      <c r="A39" s="11">
        <v>33</v>
      </c>
      <c r="B39" s="12" t="s">
        <v>144</v>
      </c>
      <c r="C39" s="405">
        <v>107169</v>
      </c>
      <c r="D39" s="351">
        <f>C39/'- 3 -'!E39</f>
        <v>0.008243119292517321</v>
      </c>
      <c r="E39" s="405">
        <f>C39/'- 7 -'!H39</f>
        <v>56.315817130846035</v>
      </c>
      <c r="F39" s="405">
        <v>3120</v>
      </c>
      <c r="G39" s="351">
        <f>F39/'- 3 -'!E39</f>
        <v>0.00023998107841497114</v>
      </c>
      <c r="H39" s="405">
        <f>F39/'- 7 -'!H39</f>
        <v>1.6395165528113504</v>
      </c>
      <c r="I39" s="405">
        <v>178496</v>
      </c>
      <c r="J39" s="351">
        <f>I39/'- 3 -'!E39</f>
        <v>0.013729379029730348</v>
      </c>
      <c r="K39" s="405">
        <f>I39/'- 7 -'!H39</f>
        <v>93.79716237519706</v>
      </c>
    </row>
    <row r="40" spans="1:11" ht="12.75">
      <c r="A40" s="13">
        <v>34</v>
      </c>
      <c r="B40" s="14" t="s">
        <v>145</v>
      </c>
      <c r="C40" s="406">
        <v>72523.41</v>
      </c>
      <c r="D40" s="352">
        <f>C40/'- 3 -'!E40</f>
        <v>0.01252860945426228</v>
      </c>
      <c r="E40" s="406">
        <f>C40/'- 7 -'!H40</f>
        <v>98.9405320600273</v>
      </c>
      <c r="F40" s="406">
        <v>0</v>
      </c>
      <c r="G40" s="352">
        <f>F40/'- 3 -'!E40</f>
        <v>0</v>
      </c>
      <c r="H40" s="406">
        <f>F40/'- 7 -'!H40</f>
        <v>0</v>
      </c>
      <c r="I40" s="406">
        <v>88080.07</v>
      </c>
      <c r="J40" s="352">
        <f>I40/'- 3 -'!E40</f>
        <v>0.01521606330609776</v>
      </c>
      <c r="K40" s="406">
        <f>I40/'- 7 -'!H40</f>
        <v>120.16380627557982</v>
      </c>
    </row>
    <row r="41" spans="1:11" ht="12.75">
      <c r="A41" s="11">
        <v>35</v>
      </c>
      <c r="B41" s="12" t="s">
        <v>146</v>
      </c>
      <c r="C41" s="405">
        <v>101500</v>
      </c>
      <c r="D41" s="351">
        <f>C41/'- 3 -'!E41</f>
        <v>0.0072922950875300395</v>
      </c>
      <c r="E41" s="405">
        <f>C41/'- 7 -'!H41</f>
        <v>52.76016217902068</v>
      </c>
      <c r="F41" s="405">
        <v>0</v>
      </c>
      <c r="G41" s="351">
        <f>F41/'- 3 -'!E41</f>
        <v>0</v>
      </c>
      <c r="H41" s="405">
        <f>F41/'- 7 -'!H41</f>
        <v>0</v>
      </c>
      <c r="I41" s="405">
        <v>178804</v>
      </c>
      <c r="J41" s="351">
        <f>I41/'- 3 -'!E41</f>
        <v>0.012846221978627795</v>
      </c>
      <c r="K41" s="405">
        <f>I41/'- 7 -'!H41</f>
        <v>92.94313338184841</v>
      </c>
    </row>
    <row r="42" spans="1:11" ht="12.75">
      <c r="A42" s="13">
        <v>36</v>
      </c>
      <c r="B42" s="14" t="s">
        <v>147</v>
      </c>
      <c r="C42" s="406">
        <v>93019</v>
      </c>
      <c r="D42" s="352">
        <f>C42/'- 3 -'!E42</f>
        <v>0.011607539658985686</v>
      </c>
      <c r="E42" s="406">
        <f>C42/'- 7 -'!H42</f>
        <v>92.2350024789291</v>
      </c>
      <c r="F42" s="406">
        <v>0</v>
      </c>
      <c r="G42" s="352">
        <f>F42/'- 3 -'!E42</f>
        <v>0</v>
      </c>
      <c r="H42" s="406">
        <f>F42/'- 7 -'!H42</f>
        <v>0</v>
      </c>
      <c r="I42" s="406">
        <v>54799</v>
      </c>
      <c r="J42" s="352">
        <f>I42/'- 3 -'!E42</f>
        <v>0.006838189679234959</v>
      </c>
      <c r="K42" s="406">
        <f>I42/'- 7 -'!H42</f>
        <v>54.33713435795736</v>
      </c>
    </row>
    <row r="43" spans="1:11" ht="12.75">
      <c r="A43" s="11">
        <v>37</v>
      </c>
      <c r="B43" s="12" t="s">
        <v>148</v>
      </c>
      <c r="C43" s="405">
        <v>67231</v>
      </c>
      <c r="D43" s="351">
        <f>C43/'- 3 -'!E43</f>
        <v>0.009782740909900457</v>
      </c>
      <c r="E43" s="405">
        <f>C43/'- 7 -'!H43</f>
        <v>69.8141225337487</v>
      </c>
      <c r="F43" s="405">
        <v>0</v>
      </c>
      <c r="G43" s="351">
        <f>F43/'- 3 -'!E43</f>
        <v>0</v>
      </c>
      <c r="H43" s="405">
        <f>F43/'- 7 -'!H43</f>
        <v>0</v>
      </c>
      <c r="I43" s="405">
        <v>88487</v>
      </c>
      <c r="J43" s="351">
        <f>I43/'- 3 -'!E43</f>
        <v>0.012875688222611025</v>
      </c>
      <c r="K43" s="405">
        <f>I43/'- 7 -'!H43</f>
        <v>91.88681204569055</v>
      </c>
    </row>
    <row r="44" spans="1:11" ht="12.75">
      <c r="A44" s="13">
        <v>38</v>
      </c>
      <c r="B44" s="14" t="s">
        <v>149</v>
      </c>
      <c r="C44" s="406">
        <v>80177</v>
      </c>
      <c r="D44" s="352">
        <f>C44/'- 3 -'!E44</f>
        <v>0.008974681005201882</v>
      </c>
      <c r="E44" s="406">
        <f>C44/'- 7 -'!H44</f>
        <v>68.64469178082192</v>
      </c>
      <c r="F44" s="406">
        <v>880</v>
      </c>
      <c r="G44" s="352">
        <f>F44/'- 3 -'!E44</f>
        <v>9.850355194853458E-05</v>
      </c>
      <c r="H44" s="406">
        <f>F44/'- 7 -'!H44</f>
        <v>0.7534246575342466</v>
      </c>
      <c r="I44" s="406">
        <v>136633</v>
      </c>
      <c r="J44" s="352">
        <f>I44/'- 3 -'!E44</f>
        <v>0.015294131606118325</v>
      </c>
      <c r="K44" s="406">
        <f>I44/'- 7 -'!H44</f>
        <v>116.98030821917808</v>
      </c>
    </row>
    <row r="45" spans="1:11" ht="12.75">
      <c r="A45" s="11">
        <v>39</v>
      </c>
      <c r="B45" s="12" t="s">
        <v>150</v>
      </c>
      <c r="C45" s="405">
        <v>91466</v>
      </c>
      <c r="D45" s="351">
        <f>C45/'- 3 -'!E45</f>
        <v>0.0061295616953928305</v>
      </c>
      <c r="E45" s="405">
        <f>C45/'- 7 -'!H45</f>
        <v>43.14433962264151</v>
      </c>
      <c r="F45" s="405">
        <v>0</v>
      </c>
      <c r="G45" s="351">
        <f>F45/'- 3 -'!E45</f>
        <v>0</v>
      </c>
      <c r="H45" s="405">
        <f>F45/'- 7 -'!H45</f>
        <v>0</v>
      </c>
      <c r="I45" s="405">
        <v>138747</v>
      </c>
      <c r="J45" s="351">
        <f>I45/'- 3 -'!E45</f>
        <v>0.009298081216524928</v>
      </c>
      <c r="K45" s="405">
        <f>I45/'- 7 -'!H45</f>
        <v>65.44669811320755</v>
      </c>
    </row>
    <row r="46" spans="1:11" ht="12.75">
      <c r="A46" s="13">
        <v>40</v>
      </c>
      <c r="B46" s="14" t="s">
        <v>151</v>
      </c>
      <c r="C46" s="406">
        <v>172566</v>
      </c>
      <c r="D46" s="352">
        <f>C46/'- 3 -'!E46</f>
        <v>0.003851991609753959</v>
      </c>
      <c r="E46" s="406">
        <f>C46/'- 7 -'!H46</f>
        <v>23.316578840697204</v>
      </c>
      <c r="F46" s="406">
        <v>0</v>
      </c>
      <c r="G46" s="352">
        <f>F46/'- 3 -'!E46</f>
        <v>0</v>
      </c>
      <c r="H46" s="406">
        <f>F46/'- 7 -'!H46</f>
        <v>0</v>
      </c>
      <c r="I46" s="406">
        <v>898061</v>
      </c>
      <c r="J46" s="352">
        <f>I46/'- 3 -'!E46</f>
        <v>0.020046378991500354</v>
      </c>
      <c r="K46" s="406">
        <f>I46/'- 7 -'!H46</f>
        <v>121.34319686528848</v>
      </c>
    </row>
    <row r="47" spans="1:11" ht="12.75">
      <c r="A47" s="11">
        <v>41</v>
      </c>
      <c r="B47" s="12" t="s">
        <v>152</v>
      </c>
      <c r="C47" s="405">
        <v>87725</v>
      </c>
      <c r="D47" s="351">
        <f>C47/'- 3 -'!E47</f>
        <v>0.007147525163810522</v>
      </c>
      <c r="E47" s="405">
        <f>C47/'- 7 -'!H47</f>
        <v>52.983632300537536</v>
      </c>
      <c r="F47" s="405">
        <v>0</v>
      </c>
      <c r="G47" s="351">
        <f>F47/'- 3 -'!E47</f>
        <v>0</v>
      </c>
      <c r="H47" s="405">
        <f>F47/'- 7 -'!H47</f>
        <v>0</v>
      </c>
      <c r="I47" s="405">
        <v>213068</v>
      </c>
      <c r="J47" s="351">
        <f>I47/'- 3 -'!E47</f>
        <v>0.017360032962129155</v>
      </c>
      <c r="K47" s="405">
        <f>I47/'- 7 -'!H47</f>
        <v>128.68756417225342</v>
      </c>
    </row>
    <row r="48" spans="1:11" ht="12.75">
      <c r="A48" s="13">
        <v>42</v>
      </c>
      <c r="B48" s="14" t="s">
        <v>153</v>
      </c>
      <c r="C48" s="406">
        <v>92157</v>
      </c>
      <c r="D48" s="352">
        <f>C48/'- 3 -'!E48</f>
        <v>0.011923216951391903</v>
      </c>
      <c r="E48" s="406">
        <f>C48/'- 7 -'!H48</f>
        <v>87.18732261116367</v>
      </c>
      <c r="F48" s="406">
        <v>3006</v>
      </c>
      <c r="G48" s="352">
        <f>F48/'- 3 -'!E48</f>
        <v>0.00038891446288273336</v>
      </c>
      <c r="H48" s="406">
        <f>F48/'- 7 -'!H48</f>
        <v>2.8438978240302744</v>
      </c>
      <c r="I48" s="406">
        <v>92287</v>
      </c>
      <c r="J48" s="352">
        <f>I48/'- 3 -'!E48</f>
        <v>0.011940036272807323</v>
      </c>
      <c r="K48" s="406">
        <f>I48/'- 7 -'!H48</f>
        <v>87.31031220435194</v>
      </c>
    </row>
    <row r="49" spans="1:11" ht="12.75">
      <c r="A49" s="11">
        <v>43</v>
      </c>
      <c r="B49" s="12" t="s">
        <v>154</v>
      </c>
      <c r="C49" s="405">
        <v>85324</v>
      </c>
      <c r="D49" s="351">
        <f>C49/'- 3 -'!E49</f>
        <v>0.01341899362265961</v>
      </c>
      <c r="E49" s="405">
        <f>C49/'- 7 -'!H49</f>
        <v>109.6005138086063</v>
      </c>
      <c r="F49" s="405">
        <v>0</v>
      </c>
      <c r="G49" s="351">
        <f>F49/'- 3 -'!E49</f>
        <v>0</v>
      </c>
      <c r="H49" s="405">
        <f>F49/'- 7 -'!H49</f>
        <v>0</v>
      </c>
      <c r="I49" s="405">
        <v>83671</v>
      </c>
      <c r="J49" s="351">
        <f>I49/'- 3 -'!E49</f>
        <v>0.013159024605053119</v>
      </c>
      <c r="K49" s="405">
        <f>I49/'- 7 -'!H49</f>
        <v>107.4771997430957</v>
      </c>
    </row>
    <row r="50" spans="1:11" ht="12.75">
      <c r="A50" s="13">
        <v>44</v>
      </c>
      <c r="B50" s="14" t="s">
        <v>155</v>
      </c>
      <c r="C50" s="406">
        <v>96743</v>
      </c>
      <c r="D50" s="352">
        <f>C50/'- 3 -'!E50</f>
        <v>0.01045751111170684</v>
      </c>
      <c r="E50" s="406">
        <f>C50/'- 7 -'!H50</f>
        <v>77.7989545637314</v>
      </c>
      <c r="F50" s="406">
        <v>1368</v>
      </c>
      <c r="G50" s="352">
        <f>F50/'- 3 -'!E50</f>
        <v>0.00014787504213033454</v>
      </c>
      <c r="H50" s="406">
        <f>F50/'- 7 -'!H50</f>
        <v>1.1001206272617612</v>
      </c>
      <c r="I50" s="406">
        <v>93463</v>
      </c>
      <c r="J50" s="352">
        <f>I50/'- 3 -'!E50</f>
        <v>0.010102956917125335</v>
      </c>
      <c r="K50" s="406">
        <f>I50/'- 7 -'!H50</f>
        <v>75.16123843988741</v>
      </c>
    </row>
    <row r="51" spans="1:11" ht="12.75">
      <c r="A51" s="11">
        <v>45</v>
      </c>
      <c r="B51" s="12" t="s">
        <v>156</v>
      </c>
      <c r="C51" s="405">
        <v>68414</v>
      </c>
      <c r="D51" s="351">
        <f>C51/'- 3 -'!E51</f>
        <v>0.0056730820738600226</v>
      </c>
      <c r="E51" s="405">
        <f>C51/'- 7 -'!H51</f>
        <v>36.31123613396317</v>
      </c>
      <c r="F51" s="405">
        <v>0</v>
      </c>
      <c r="G51" s="351">
        <f>F51/'- 3 -'!E51</f>
        <v>0</v>
      </c>
      <c r="H51" s="405">
        <f>F51/'- 7 -'!H51</f>
        <v>0</v>
      </c>
      <c r="I51" s="405">
        <v>116755</v>
      </c>
      <c r="J51" s="351">
        <f>I51/'- 3 -'!E51</f>
        <v>0.009681654303702852</v>
      </c>
      <c r="K51" s="405">
        <f>I51/'- 7 -'!H51</f>
        <v>61.96857916246484</v>
      </c>
    </row>
    <row r="52" spans="1:11" ht="12.75">
      <c r="A52" s="13">
        <v>46</v>
      </c>
      <c r="B52" s="14" t="s">
        <v>157</v>
      </c>
      <c r="C52" s="406">
        <v>128653</v>
      </c>
      <c r="D52" s="352">
        <f>C52/'- 3 -'!E52</f>
        <v>0.011760764772348952</v>
      </c>
      <c r="E52" s="406">
        <f>C52/'- 7 -'!H52</f>
        <v>89.5039654932517</v>
      </c>
      <c r="F52" s="406">
        <v>0</v>
      </c>
      <c r="G52" s="352">
        <f>F52/'- 3 -'!E52</f>
        <v>0</v>
      </c>
      <c r="H52" s="406">
        <f>F52/'- 7 -'!H52</f>
        <v>0</v>
      </c>
      <c r="I52" s="406">
        <v>91212</v>
      </c>
      <c r="J52" s="352">
        <f>I52/'- 3 -'!E52</f>
        <v>0.008338110082279408</v>
      </c>
      <c r="K52" s="406">
        <f>I52/'- 7 -'!H52</f>
        <v>63.45624043411715</v>
      </c>
    </row>
    <row r="53" spans="1:11" ht="12.75">
      <c r="A53" s="11">
        <v>47</v>
      </c>
      <c r="B53" s="12" t="s">
        <v>158</v>
      </c>
      <c r="C53" s="405">
        <v>55425</v>
      </c>
      <c r="D53" s="351">
        <f>C53/'- 3 -'!E53</f>
        <v>0.0060184145568644345</v>
      </c>
      <c r="E53" s="405">
        <f>C53/'- 7 -'!H53</f>
        <v>38.31662633944003</v>
      </c>
      <c r="F53" s="405">
        <v>0</v>
      </c>
      <c r="G53" s="351">
        <f>F53/'- 3 -'!E53</f>
        <v>0</v>
      </c>
      <c r="H53" s="405">
        <f>F53/'- 7 -'!H53</f>
        <v>0</v>
      </c>
      <c r="I53" s="405">
        <v>110157</v>
      </c>
      <c r="J53" s="351">
        <f>I53/'- 3 -'!E53</f>
        <v>0.011961578571772945</v>
      </c>
      <c r="K53" s="405">
        <f>I53/'- 7 -'!H53</f>
        <v>76.15416522640857</v>
      </c>
    </row>
    <row r="54" spans="1:11" ht="12.75">
      <c r="A54" s="13">
        <v>48</v>
      </c>
      <c r="B54" s="14" t="s">
        <v>159</v>
      </c>
      <c r="C54" s="406">
        <v>52172</v>
      </c>
      <c r="D54" s="352">
        <f>C54/'- 3 -'!E54</f>
        <v>0.0008784008040906417</v>
      </c>
      <c r="E54" s="406">
        <f>C54/'- 7 -'!H54</f>
        <v>9.979914685234425</v>
      </c>
      <c r="F54" s="406">
        <v>1592</v>
      </c>
      <c r="G54" s="352">
        <f>F54/'- 3 -'!E54</f>
        <v>2.68039193458618E-05</v>
      </c>
      <c r="H54" s="406">
        <f>F54/'- 7 -'!H54</f>
        <v>0.30453162958853797</v>
      </c>
      <c r="I54" s="406">
        <v>1474881</v>
      </c>
      <c r="J54" s="352">
        <f>I54/'- 3 -'!E54</f>
        <v>0.024832029754236176</v>
      </c>
      <c r="K54" s="406">
        <f>I54/'- 7 -'!H54</f>
        <v>282.12808692159075</v>
      </c>
    </row>
    <row r="55" spans="1:11" ht="12.75">
      <c r="A55" s="11">
        <v>49</v>
      </c>
      <c r="B55" s="12" t="s">
        <v>160</v>
      </c>
      <c r="C55" s="405">
        <v>256388</v>
      </c>
      <c r="D55" s="351">
        <f>C55/'- 3 -'!E55</f>
        <v>0.007077953866531204</v>
      </c>
      <c r="E55" s="405">
        <f>C55/'- 7 -'!H55</f>
        <v>60.17367630491926</v>
      </c>
      <c r="F55" s="405">
        <v>0</v>
      </c>
      <c r="G55" s="351">
        <f>F55/'- 3 -'!E55</f>
        <v>0</v>
      </c>
      <c r="H55" s="405">
        <f>F55/'- 7 -'!H55</f>
        <v>0</v>
      </c>
      <c r="I55" s="405">
        <v>377734</v>
      </c>
      <c r="J55" s="351">
        <f>I55/'- 3 -'!E55</f>
        <v>0.010427882060862044</v>
      </c>
      <c r="K55" s="405">
        <f>I55/'- 7 -'!H55</f>
        <v>88.65330454374765</v>
      </c>
    </row>
    <row r="56" spans="1:11" ht="12.75">
      <c r="A56" s="13">
        <v>50</v>
      </c>
      <c r="B56" s="14" t="s">
        <v>343</v>
      </c>
      <c r="C56" s="406">
        <v>74213</v>
      </c>
      <c r="D56" s="352">
        <f>C56/'- 3 -'!E56</f>
        <v>0.005148589887304484</v>
      </c>
      <c r="E56" s="406">
        <f>C56/'- 7 -'!H56</f>
        <v>42.111445270385296</v>
      </c>
      <c r="F56" s="406">
        <v>0</v>
      </c>
      <c r="G56" s="352">
        <f>F56/'- 3 -'!E56</f>
        <v>0</v>
      </c>
      <c r="H56" s="406">
        <f>F56/'- 7 -'!H56</f>
        <v>0</v>
      </c>
      <c r="I56" s="406">
        <v>129595</v>
      </c>
      <c r="J56" s="352">
        <f>I56/'- 3 -'!E56</f>
        <v>0.008990763160702632</v>
      </c>
      <c r="K56" s="406">
        <f>I56/'- 7 -'!H56</f>
        <v>73.53742268626227</v>
      </c>
    </row>
    <row r="57" spans="1:11" ht="12.75">
      <c r="A57" s="11">
        <v>2264</v>
      </c>
      <c r="B57" s="12" t="s">
        <v>161</v>
      </c>
      <c r="C57" s="405">
        <v>0</v>
      </c>
      <c r="D57" s="351">
        <f>C57/'- 3 -'!E57</f>
        <v>0</v>
      </c>
      <c r="E57" s="405">
        <f>C57/'- 7 -'!H57</f>
        <v>0</v>
      </c>
      <c r="F57" s="405">
        <v>0</v>
      </c>
      <c r="G57" s="351">
        <f>F57/'- 3 -'!E57</f>
        <v>0</v>
      </c>
      <c r="H57" s="405">
        <f>F57/'- 7 -'!H57</f>
        <v>0</v>
      </c>
      <c r="I57" s="405">
        <v>48196</v>
      </c>
      <c r="J57" s="351">
        <f>I57/'- 3 -'!E57</f>
        <v>0.02289334649838508</v>
      </c>
      <c r="K57" s="405">
        <f>I57/'- 7 -'!H57</f>
        <v>245.27226463104327</v>
      </c>
    </row>
    <row r="58" spans="1:11" ht="12.75">
      <c r="A58" s="13">
        <v>2309</v>
      </c>
      <c r="B58" s="14" t="s">
        <v>162</v>
      </c>
      <c r="C58" s="406">
        <v>0</v>
      </c>
      <c r="D58" s="352">
        <f>C58/'- 3 -'!E58</f>
        <v>0</v>
      </c>
      <c r="E58" s="406">
        <f>C58/'- 7 -'!H58</f>
        <v>0</v>
      </c>
      <c r="F58" s="406">
        <v>0</v>
      </c>
      <c r="G58" s="352">
        <f>F58/'- 3 -'!E58</f>
        <v>0</v>
      </c>
      <c r="H58" s="406">
        <f>F58/'- 7 -'!H58</f>
        <v>0</v>
      </c>
      <c r="I58" s="406">
        <v>48590</v>
      </c>
      <c r="J58" s="352">
        <f>I58/'- 3 -'!E58</f>
        <v>0.021450890748348692</v>
      </c>
      <c r="K58" s="406">
        <f>I58/'- 7 -'!H58</f>
        <v>186.38281549673957</v>
      </c>
    </row>
    <row r="59" spans="1:11" ht="12.75">
      <c r="A59" s="11">
        <v>2312</v>
      </c>
      <c r="B59" s="12" t="s">
        <v>163</v>
      </c>
      <c r="C59" s="405">
        <v>0</v>
      </c>
      <c r="D59" s="351">
        <f>C59/'- 3 -'!E59</f>
        <v>0</v>
      </c>
      <c r="E59" s="405">
        <f>C59/'- 7 -'!H59</f>
        <v>0</v>
      </c>
      <c r="F59" s="405">
        <v>0</v>
      </c>
      <c r="G59" s="351">
        <f>F59/'- 3 -'!E59</f>
        <v>0</v>
      </c>
      <c r="H59" s="405">
        <f>F59/'- 7 -'!H59</f>
        <v>0</v>
      </c>
      <c r="I59" s="405">
        <v>51824</v>
      </c>
      <c r="J59" s="351">
        <f>I59/'- 3 -'!E59</f>
        <v>0.025726856675931657</v>
      </c>
      <c r="K59" s="405">
        <f>I59/'- 7 -'!H59</f>
        <v>297.8390804597701</v>
      </c>
    </row>
    <row r="60" spans="1:11" ht="12.75">
      <c r="A60" s="13">
        <v>2355</v>
      </c>
      <c r="B60" s="14" t="s">
        <v>164</v>
      </c>
      <c r="C60" s="406">
        <v>136857</v>
      </c>
      <c r="D60" s="352">
        <f>C60/'- 3 -'!E60</f>
        <v>0.005501765758789769</v>
      </c>
      <c r="E60" s="406">
        <f>C60/'- 7 -'!H60</f>
        <v>41.20585312979857</v>
      </c>
      <c r="F60" s="406">
        <v>0</v>
      </c>
      <c r="G60" s="352">
        <f>F60/'- 3 -'!E60</f>
        <v>0</v>
      </c>
      <c r="H60" s="406">
        <f>F60/'- 7 -'!H60</f>
        <v>0</v>
      </c>
      <c r="I60" s="406">
        <v>419501.83</v>
      </c>
      <c r="J60" s="352">
        <f>I60/'- 3 -'!E60</f>
        <v>0.01686432410504137</v>
      </c>
      <c r="K60" s="406">
        <f>I60/'- 7 -'!H60</f>
        <v>126.30651552103092</v>
      </c>
    </row>
    <row r="61" spans="1:11" ht="12.75">
      <c r="A61" s="11">
        <v>2439</v>
      </c>
      <c r="B61" s="12" t="s">
        <v>165</v>
      </c>
      <c r="C61" s="405">
        <v>26912.76</v>
      </c>
      <c r="D61" s="351">
        <f>C61/'- 3 -'!E61</f>
        <v>0.019262168553887654</v>
      </c>
      <c r="E61" s="405">
        <f>C61/'- 7 -'!H61</f>
        <v>171.96651757188496</v>
      </c>
      <c r="F61" s="405">
        <v>0</v>
      </c>
      <c r="G61" s="351">
        <f>F61/'- 3 -'!E61</f>
        <v>0</v>
      </c>
      <c r="H61" s="405">
        <f>F61/'- 7 -'!H61</f>
        <v>0</v>
      </c>
      <c r="I61" s="405">
        <v>71297.63</v>
      </c>
      <c r="J61" s="351">
        <f>I61/'- 3 -'!E61</f>
        <v>0.05102958472310968</v>
      </c>
      <c r="K61" s="405">
        <f>I61/'- 7 -'!H61</f>
        <v>455.57591054313104</v>
      </c>
    </row>
    <row r="62" spans="1:11" ht="12.75">
      <c r="A62" s="13">
        <v>2460</v>
      </c>
      <c r="B62" s="14" t="s">
        <v>166</v>
      </c>
      <c r="C62" s="406">
        <v>0</v>
      </c>
      <c r="D62" s="352">
        <f>C62/'- 3 -'!E62</f>
        <v>0</v>
      </c>
      <c r="E62" s="406">
        <f>C62/'- 7 -'!H62</f>
        <v>0</v>
      </c>
      <c r="F62" s="406">
        <v>0</v>
      </c>
      <c r="G62" s="352">
        <f>F62/'- 3 -'!E62</f>
        <v>0</v>
      </c>
      <c r="H62" s="406">
        <f>F62/'- 7 -'!H62</f>
        <v>0</v>
      </c>
      <c r="I62" s="406">
        <v>48772</v>
      </c>
      <c r="J62" s="352">
        <f>I62/'- 3 -'!E62</f>
        <v>0.014759196203014299</v>
      </c>
      <c r="K62" s="406">
        <f>I62/'- 7 -'!H62</f>
        <v>179.17707567964732</v>
      </c>
    </row>
    <row r="63" spans="1:11" ht="12.75">
      <c r="A63" s="11">
        <v>3000</v>
      </c>
      <c r="B63" s="12" t="s">
        <v>366</v>
      </c>
      <c r="C63" s="405">
        <v>0</v>
      </c>
      <c r="D63" s="351">
        <f>C63/'- 3 -'!E63</f>
        <v>0</v>
      </c>
      <c r="E63" s="405">
        <f>C63/'- 7 -'!H63</f>
        <v>0</v>
      </c>
      <c r="F63" s="405">
        <v>0</v>
      </c>
      <c r="G63" s="351">
        <f>F63/'- 3 -'!E63</f>
        <v>0</v>
      </c>
      <c r="H63" s="405">
        <f>F63/'- 7 -'!H63</f>
        <v>0</v>
      </c>
      <c r="I63" s="405">
        <v>0</v>
      </c>
      <c r="J63" s="351">
        <f>I63/'- 3 -'!E63</f>
        <v>0</v>
      </c>
      <c r="K63" s="405">
        <f>I63/'- 7 -'!H63</f>
        <v>0</v>
      </c>
    </row>
    <row r="64" spans="1:11" ht="4.5" customHeight="1">
      <c r="A64" s="15"/>
      <c r="B64" s="15"/>
      <c r="C64" s="412"/>
      <c r="D64" s="194"/>
      <c r="E64" s="412"/>
      <c r="F64" s="412"/>
      <c r="G64" s="194"/>
      <c r="H64" s="412"/>
      <c r="I64" s="412"/>
      <c r="J64" s="194"/>
      <c r="K64" s="412"/>
    </row>
    <row r="65" spans="1:11" ht="12.75">
      <c r="A65" s="17"/>
      <c r="B65" s="18" t="s">
        <v>167</v>
      </c>
      <c r="C65" s="407">
        <f>SUM(C11:C63)</f>
        <v>7015382.63</v>
      </c>
      <c r="D65" s="100">
        <f>C65/'- 3 -'!E65</f>
        <v>0.005406588501950042</v>
      </c>
      <c r="E65" s="407">
        <f>C65/'- 7 -'!H65</f>
        <v>38.70951251352621</v>
      </c>
      <c r="F65" s="407">
        <f>SUM(F11:F63)</f>
        <v>1062620</v>
      </c>
      <c r="G65" s="100">
        <f>F65/'- 3 -'!E65</f>
        <v>0.0008189359550217654</v>
      </c>
      <c r="H65" s="407">
        <f>F65/'- 7 -'!H65</f>
        <v>5.863329821986234</v>
      </c>
      <c r="I65" s="407">
        <f>SUM(I11:I63)</f>
        <v>23906137.66</v>
      </c>
      <c r="J65" s="100">
        <f>I65/'- 3 -'!E65</f>
        <v>0.0184238915844553</v>
      </c>
      <c r="K65" s="407">
        <f>I65/'- 7 -'!H65</f>
        <v>131.90940305131298</v>
      </c>
    </row>
    <row r="66" spans="1:11" ht="4.5" customHeight="1">
      <c r="A66" s="15"/>
      <c r="B66" s="15"/>
      <c r="C66" s="412"/>
      <c r="D66" s="194"/>
      <c r="E66" s="412"/>
      <c r="F66" s="412"/>
      <c r="G66" s="194"/>
      <c r="H66" s="412"/>
      <c r="I66" s="412"/>
      <c r="J66" s="194"/>
      <c r="K66" s="412"/>
    </row>
    <row r="67" spans="1:11" ht="12.75">
      <c r="A67" s="13">
        <v>2155</v>
      </c>
      <c r="B67" s="14" t="s">
        <v>168</v>
      </c>
      <c r="C67" s="406">
        <v>0</v>
      </c>
      <c r="D67" s="352">
        <f>C67/'- 3 -'!E67</f>
        <v>0</v>
      </c>
      <c r="E67" s="406">
        <f>C67/'- 7 -'!H67</f>
        <v>0</v>
      </c>
      <c r="F67" s="406">
        <v>0</v>
      </c>
      <c r="G67" s="352">
        <f>F67/'- 3 -'!E67</f>
        <v>0</v>
      </c>
      <c r="H67" s="406">
        <f>F67/'- 7 -'!H67</f>
        <v>0</v>
      </c>
      <c r="I67" s="406">
        <v>32581</v>
      </c>
      <c r="J67" s="352">
        <f>I67/'- 3 -'!E67</f>
        <v>0.027228036843500933</v>
      </c>
      <c r="K67" s="406">
        <f>I67/'- 7 -'!H67</f>
        <v>223.15753424657535</v>
      </c>
    </row>
    <row r="68" spans="1:11" ht="12.75">
      <c r="A68" s="11">
        <v>2408</v>
      </c>
      <c r="B68" s="12" t="s">
        <v>170</v>
      </c>
      <c r="C68" s="405">
        <v>32008</v>
      </c>
      <c r="D68" s="351">
        <f>C68/'- 3 -'!E68</f>
        <v>0.014929633699702042</v>
      </c>
      <c r="E68" s="405">
        <f>C68/'- 7 -'!H68</f>
        <v>124.06201550387597</v>
      </c>
      <c r="F68" s="405">
        <v>0</v>
      </c>
      <c r="G68" s="351">
        <f>F68/'- 3 -'!E68</f>
        <v>0</v>
      </c>
      <c r="H68" s="405">
        <f>F68/'- 7 -'!H68</f>
        <v>0</v>
      </c>
      <c r="I68" s="405">
        <v>24459</v>
      </c>
      <c r="J68" s="351">
        <f>I68/'- 3 -'!E68</f>
        <v>0.011408520078137098</v>
      </c>
      <c r="K68" s="405">
        <f>I68/'- 7 -'!H68</f>
        <v>94.80232558139535</v>
      </c>
    </row>
    <row r="69" ht="6.75" customHeight="1"/>
    <row r="70" spans="1:11" ht="12" customHeight="1">
      <c r="A70" s="380" t="s">
        <v>354</v>
      </c>
      <c r="B70" s="268" t="s">
        <v>328</v>
      </c>
      <c r="C70" s="16"/>
      <c r="D70" s="126"/>
      <c r="E70" s="170"/>
      <c r="F70" s="170"/>
      <c r="G70" s="170"/>
      <c r="H70" s="170"/>
      <c r="I70" s="170"/>
      <c r="J70" s="170"/>
      <c r="K70" s="170"/>
    </row>
    <row r="71" spans="1:11" ht="12" customHeight="1">
      <c r="A71" s="4"/>
      <c r="B71" s="4"/>
      <c r="D71" s="126"/>
      <c r="E71" s="170"/>
      <c r="F71" s="170"/>
      <c r="G71" s="170"/>
      <c r="H71" s="170"/>
      <c r="I71" s="170"/>
      <c r="J71" s="170"/>
      <c r="K71" s="170"/>
    </row>
    <row r="72" spans="1:11" ht="12" customHeight="1">
      <c r="A72" s="4"/>
      <c r="B72" s="4"/>
      <c r="D72" s="126"/>
      <c r="E72" s="170"/>
      <c r="F72" s="237"/>
      <c r="G72" s="170"/>
      <c r="H72" s="170"/>
      <c r="I72" s="170"/>
      <c r="J72" s="170"/>
      <c r="K72" s="170"/>
    </row>
    <row r="73" spans="1:11" ht="12" customHeight="1">
      <c r="A73" s="4"/>
      <c r="B73" s="4"/>
      <c r="D73" s="126"/>
      <c r="E73" s="170"/>
      <c r="F73" s="237"/>
      <c r="G73" s="170"/>
      <c r="H73" s="170"/>
      <c r="I73" s="170"/>
      <c r="J73" s="170"/>
      <c r="K73" s="170"/>
    </row>
    <row r="74" spans="1:11" ht="12" customHeight="1">
      <c r="A74" s="4"/>
      <c r="B74" s="4"/>
      <c r="D74" s="126"/>
      <c r="E74" s="170"/>
      <c r="F74" s="237"/>
      <c r="G74" s="170"/>
      <c r="H74" s="170"/>
      <c r="I74" s="170"/>
      <c r="J74" s="170"/>
      <c r="K74" s="170"/>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6.83203125" style="79" customWidth="1"/>
    <col min="7" max="7" width="7.83203125" style="79" customWidth="1"/>
    <col min="8" max="8" width="9.83203125" style="79" customWidth="1"/>
    <col min="9" max="9" width="14.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0</v>
      </c>
      <c r="D2" s="196"/>
      <c r="E2" s="196"/>
      <c r="F2" s="196"/>
      <c r="G2" s="196"/>
      <c r="H2" s="196"/>
      <c r="I2" s="211"/>
      <c r="J2" s="211"/>
      <c r="K2" s="216" t="s">
        <v>427</v>
      </c>
    </row>
    <row r="3" spans="1:11" ht="12.75">
      <c r="A3" s="7"/>
      <c r="B3" s="83"/>
      <c r="C3" s="199" t="str">
        <f>YEAR</f>
        <v>OPERATING FUND ACTUAL 2001/2002</v>
      </c>
      <c r="D3" s="199"/>
      <c r="E3" s="199"/>
      <c r="F3" s="199"/>
      <c r="G3" s="199"/>
      <c r="H3" s="199"/>
      <c r="I3" s="212"/>
      <c r="J3" s="212"/>
      <c r="K3" s="217"/>
    </row>
    <row r="4" spans="1:11" ht="12.75">
      <c r="A4" s="8"/>
      <c r="C4" s="139"/>
      <c r="D4" s="139"/>
      <c r="E4" s="139"/>
      <c r="F4" s="139"/>
      <c r="G4" s="139"/>
      <c r="H4" s="139"/>
      <c r="I4" s="139"/>
      <c r="J4" s="139"/>
      <c r="K4" s="139"/>
    </row>
    <row r="5" spans="1:11" ht="16.5">
      <c r="A5" s="8"/>
      <c r="C5" s="330" t="s">
        <v>331</v>
      </c>
      <c r="D5" s="152"/>
      <c r="E5" s="228"/>
      <c r="F5" s="228"/>
      <c r="G5" s="228"/>
      <c r="H5" s="228"/>
      <c r="I5" s="228"/>
      <c r="J5" s="228"/>
      <c r="K5" s="229"/>
    </row>
    <row r="6" spans="1:11" ht="12.75">
      <c r="A6" s="8"/>
      <c r="C6" s="64" t="s">
        <v>17</v>
      </c>
      <c r="D6" s="62"/>
      <c r="E6" s="63"/>
      <c r="F6" s="64" t="s">
        <v>338</v>
      </c>
      <c r="G6" s="62"/>
      <c r="H6" s="63"/>
      <c r="I6" s="64" t="s">
        <v>327</v>
      </c>
      <c r="J6" s="62"/>
      <c r="K6" s="63"/>
    </row>
    <row r="7" spans="3:11" ht="12.75">
      <c r="C7" s="65" t="s">
        <v>44</v>
      </c>
      <c r="D7" s="66"/>
      <c r="E7" s="67"/>
      <c r="F7" s="65" t="s">
        <v>337</v>
      </c>
      <c r="G7" s="66"/>
      <c r="H7" s="67"/>
      <c r="I7" s="65" t="s">
        <v>234</v>
      </c>
      <c r="J7" s="66"/>
      <c r="K7" s="67"/>
    </row>
    <row r="8" spans="1:11" ht="12.75">
      <c r="A8" s="91"/>
      <c r="B8" s="43"/>
      <c r="C8" s="70"/>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12745269</v>
      </c>
      <c r="D11" s="351">
        <f>C11/'- 3 -'!E11</f>
        <v>0.0528775640814052</v>
      </c>
      <c r="E11" s="405">
        <f>IF(AND(C11&gt;0,'- 7 -'!F11=0),"N/A ",IF(C11&gt;0,C11/'- 7 -'!F11,0))</f>
        <v>11544.627717391304</v>
      </c>
      <c r="F11" s="405">
        <v>10318696</v>
      </c>
      <c r="G11" s="351">
        <f>F11/'- 3 -'!E11</f>
        <v>0.04281019953180584</v>
      </c>
      <c r="H11" s="405">
        <f>F11/'- 7 -'!H11</f>
        <v>335.0954915517337</v>
      </c>
      <c r="I11" s="405">
        <v>14254163</v>
      </c>
      <c r="J11" s="351">
        <f>I11/'- 3 -'!E11</f>
        <v>0.05913766256791402</v>
      </c>
      <c r="K11" s="405">
        <f>I11/'- 7 -'!H11</f>
        <v>462.8981953866588</v>
      </c>
    </row>
    <row r="12" spans="1:11" ht="12.75">
      <c r="A12" s="13">
        <v>2</v>
      </c>
      <c r="B12" s="14" t="s">
        <v>117</v>
      </c>
      <c r="C12" s="406">
        <v>1316709</v>
      </c>
      <c r="D12" s="352">
        <f>C12/'- 3 -'!E12</f>
        <v>0.02191170324577554</v>
      </c>
      <c r="E12" s="406">
        <f>IF(AND(C12&gt;0,'- 7 -'!F12=0),"N/A ",IF(C12&gt;0,C12/'- 7 -'!F12,0))</f>
        <v>13167.09</v>
      </c>
      <c r="F12" s="406">
        <v>2681771</v>
      </c>
      <c r="G12" s="352">
        <f>F12/'- 3 -'!E12</f>
        <v>0.044628061572546944</v>
      </c>
      <c r="H12" s="406">
        <f>F12/'- 7 -'!H12</f>
        <v>293.350375798387</v>
      </c>
      <c r="I12" s="406">
        <v>1347196</v>
      </c>
      <c r="J12" s="352">
        <f>I12/'- 3 -'!E12</f>
        <v>0.022419045488331762</v>
      </c>
      <c r="K12" s="406">
        <f>I12/'- 7 -'!H12</f>
        <v>147.3654733659525</v>
      </c>
    </row>
    <row r="13" spans="1:11" ht="12.75">
      <c r="A13" s="11">
        <v>3</v>
      </c>
      <c r="B13" s="12" t="s">
        <v>118</v>
      </c>
      <c r="C13" s="405">
        <v>0</v>
      </c>
      <c r="D13" s="351">
        <f>C13/'- 3 -'!E13</f>
        <v>0</v>
      </c>
      <c r="E13" s="405">
        <f>IF(AND(C13&gt;0,'- 7 -'!F13=0),"N/A ",IF(C13&gt;0,C13/'- 7 -'!F13,0))</f>
        <v>0</v>
      </c>
      <c r="F13" s="405">
        <v>3034157</v>
      </c>
      <c r="G13" s="351">
        <f>F13/'- 3 -'!E13</f>
        <v>0.07227556192890015</v>
      </c>
      <c r="H13" s="405">
        <f>F13/'- 7 -'!H13</f>
        <v>518.3491927906381</v>
      </c>
      <c r="I13" s="405">
        <v>2387404</v>
      </c>
      <c r="J13" s="351">
        <f>I13/'- 3 -'!E13</f>
        <v>0.05686949147697497</v>
      </c>
      <c r="K13" s="405">
        <f>I13/'- 7 -'!H13</f>
        <v>407.85922952079954</v>
      </c>
    </row>
    <row r="14" spans="1:11" ht="12.75">
      <c r="A14" s="13">
        <v>4</v>
      </c>
      <c r="B14" s="14" t="s">
        <v>119</v>
      </c>
      <c r="C14" s="406">
        <v>1554213</v>
      </c>
      <c r="D14" s="352">
        <f>C14/'- 3 -'!E14</f>
        <v>0.037391770378403404</v>
      </c>
      <c r="E14" s="406">
        <f>IF(AND(C14&gt;0,'- 7 -'!F14=0),"N/A ",IF(C14&gt;0,C14/'- 7 -'!F14,0))</f>
        <v>16189.71875</v>
      </c>
      <c r="F14" s="406">
        <v>2359088</v>
      </c>
      <c r="G14" s="352">
        <f>F14/'- 3 -'!E14</f>
        <v>0.056755719324472854</v>
      </c>
      <c r="H14" s="406">
        <f>F14/'- 7 -'!H14</f>
        <v>399.0473290706722</v>
      </c>
      <c r="I14" s="406">
        <v>1571761</v>
      </c>
      <c r="J14" s="352">
        <f>I14/'- 3 -'!E14</f>
        <v>0.03781394596604823</v>
      </c>
      <c r="K14" s="406">
        <f>I14/'- 7 -'!H14</f>
        <v>265.86843262627286</v>
      </c>
    </row>
    <row r="15" spans="1:11" ht="12.75">
      <c r="A15" s="11">
        <v>5</v>
      </c>
      <c r="B15" s="12" t="s">
        <v>120</v>
      </c>
      <c r="C15" s="405">
        <v>1538766</v>
      </c>
      <c r="D15" s="351">
        <f>C15/'- 3 -'!E15</f>
        <v>0.030617531936812995</v>
      </c>
      <c r="E15" s="405">
        <f>IF(AND(C15&gt;0,'- 7 -'!F15=0),"N/A ",IF(C15&gt;0,C15/'- 7 -'!F15,0))</f>
        <v>35702.227378190255</v>
      </c>
      <c r="F15" s="405">
        <v>2779445</v>
      </c>
      <c r="G15" s="351">
        <f>F15/'- 3 -'!E15</f>
        <v>0.05530389029528544</v>
      </c>
      <c r="H15" s="405">
        <f>F15/'- 7 -'!H15</f>
        <v>385.30088581449183</v>
      </c>
      <c r="I15" s="405">
        <v>1470649</v>
      </c>
      <c r="J15" s="351">
        <f>I15/'- 3 -'!E15</f>
        <v>0.029262176786686276</v>
      </c>
      <c r="K15" s="405">
        <f>I15/'- 7 -'!H15</f>
        <v>203.86888836519398</v>
      </c>
    </row>
    <row r="16" spans="1:11" ht="12.75">
      <c r="A16" s="13">
        <v>6</v>
      </c>
      <c r="B16" s="14" t="s">
        <v>121</v>
      </c>
      <c r="C16" s="406">
        <v>1617139</v>
      </c>
      <c r="D16" s="352">
        <f>C16/'- 3 -'!E16</f>
        <v>0.02792205089018535</v>
      </c>
      <c r="E16" s="406">
        <f>IF(AND(C16&gt;0,'- 7 -'!F16=0),"N/A ",IF(C16&gt;0,C16/'- 7 -'!F16,0))</f>
        <v>21561.853333333333</v>
      </c>
      <c r="F16" s="406">
        <v>1436954</v>
      </c>
      <c r="G16" s="352">
        <f>F16/'- 3 -'!E16</f>
        <v>0.024810917747240896</v>
      </c>
      <c r="H16" s="406">
        <f>F16/'- 7 -'!H16</f>
        <v>163.58765938069217</v>
      </c>
      <c r="I16" s="406">
        <v>3272633</v>
      </c>
      <c r="J16" s="352">
        <f>I16/'- 3 -'!E16</f>
        <v>0.056506351755105745</v>
      </c>
      <c r="K16" s="406">
        <f>I16/'- 7 -'!H16</f>
        <v>372.56750910746814</v>
      </c>
    </row>
    <row r="17" spans="1:11" ht="12.75">
      <c r="A17" s="11">
        <v>9</v>
      </c>
      <c r="B17" s="12" t="s">
        <v>122</v>
      </c>
      <c r="C17" s="405">
        <v>4472826</v>
      </c>
      <c r="D17" s="351">
        <f>C17/'- 3 -'!E17</f>
        <v>0.0548667040505862</v>
      </c>
      <c r="E17" s="405">
        <f>IF(AND(C17&gt;0,'- 7 -'!F17=0),"N/A ",IF(C17&gt;0,C17/'- 7 -'!F17,0))</f>
        <v>27440.650306748466</v>
      </c>
      <c r="F17" s="405">
        <v>2318453</v>
      </c>
      <c r="G17" s="351">
        <f>F17/'- 3 -'!E17</f>
        <v>0.028439710063882146</v>
      </c>
      <c r="H17" s="405">
        <f>F17/'- 7 -'!H17</f>
        <v>184.93327590195184</v>
      </c>
      <c r="I17" s="405">
        <v>3434252</v>
      </c>
      <c r="J17" s="351">
        <f>I17/'- 3 -'!E17</f>
        <v>0.042126854055832656</v>
      </c>
      <c r="K17" s="405">
        <f>I17/'- 7 -'!H17</f>
        <v>273.93588424386</v>
      </c>
    </row>
    <row r="18" spans="1:11" ht="12.75">
      <c r="A18" s="13">
        <v>10</v>
      </c>
      <c r="B18" s="14" t="s">
        <v>123</v>
      </c>
      <c r="C18" s="406">
        <v>1431803.08</v>
      </c>
      <c r="D18" s="352">
        <f>C18/'- 3 -'!E18</f>
        <v>0.023894842401917638</v>
      </c>
      <c r="E18" s="406">
        <f>IF(AND(C18&gt;0,'- 7 -'!F18=0),"N/A ",IF(C18&gt;0,C18/'- 7 -'!F18,0))</f>
        <v>37679.02842105264</v>
      </c>
      <c r="F18" s="406">
        <v>3634227.39</v>
      </c>
      <c r="G18" s="352">
        <f>F18/'- 3 -'!E18</f>
        <v>0.06065030306875891</v>
      </c>
      <c r="H18" s="406">
        <f>F18/'- 7 -'!H18</f>
        <v>424.23713185081425</v>
      </c>
      <c r="I18" s="406">
        <v>1356933.31</v>
      </c>
      <c r="J18" s="352">
        <f>I18/'- 3 -'!E18</f>
        <v>0.02264536795965158</v>
      </c>
      <c r="K18" s="406">
        <f>I18/'- 7 -'!H18</f>
        <v>158.39996614720133</v>
      </c>
    </row>
    <row r="19" spans="1:11" ht="12.75">
      <c r="A19" s="11">
        <v>11</v>
      </c>
      <c r="B19" s="12" t="s">
        <v>124</v>
      </c>
      <c r="C19" s="405">
        <v>363787</v>
      </c>
      <c r="D19" s="351">
        <f>C19/'- 3 -'!E19</f>
        <v>0.011252980653925474</v>
      </c>
      <c r="E19" s="405">
        <f>IF(AND(C19&gt;0,'- 7 -'!F19=0),"N/A ",IF(C19&gt;0,C19/'- 7 -'!F19,0))</f>
        <v>20210.38888888889</v>
      </c>
      <c r="F19" s="405">
        <v>2051828</v>
      </c>
      <c r="G19" s="351">
        <f>F19/'- 3 -'!E19</f>
        <v>0.06346895515557895</v>
      </c>
      <c r="H19" s="405">
        <f>F19/'- 7 -'!H19</f>
        <v>435.1241649878062</v>
      </c>
      <c r="I19" s="405">
        <v>966136</v>
      </c>
      <c r="J19" s="351">
        <f>I19/'- 3 -'!E19</f>
        <v>0.029885371706688094</v>
      </c>
      <c r="K19" s="405">
        <f>I19/'- 7 -'!H19</f>
        <v>204.88516594210583</v>
      </c>
    </row>
    <row r="20" spans="1:11" ht="12.75">
      <c r="A20" s="13">
        <v>12</v>
      </c>
      <c r="B20" s="14" t="s">
        <v>125</v>
      </c>
      <c r="C20" s="406">
        <v>427081</v>
      </c>
      <c r="D20" s="352">
        <f>C20/'- 3 -'!E20</f>
        <v>0.008245065125398328</v>
      </c>
      <c r="E20" s="406">
        <f>IF(AND(C20&gt;0,'- 7 -'!F20=0),"N/A ",IF(C20&gt;0,C20/'- 7 -'!F20,0))</f>
        <v>14726.931034482759</v>
      </c>
      <c r="F20" s="406">
        <v>2723475</v>
      </c>
      <c r="G20" s="352">
        <f>F20/'- 3 -'!E20</f>
        <v>0.05257838382506881</v>
      </c>
      <c r="H20" s="406">
        <f>F20/'- 7 -'!H20</f>
        <v>352.8274387874077</v>
      </c>
      <c r="I20" s="406">
        <v>3260236</v>
      </c>
      <c r="J20" s="352">
        <f>I20/'- 3 -'!E20</f>
        <v>0.06294088977071831</v>
      </c>
      <c r="K20" s="406">
        <f>I20/'- 7 -'!H20</f>
        <v>422.36507319600986</v>
      </c>
    </row>
    <row r="21" spans="1:11" ht="12.75">
      <c r="A21" s="11">
        <v>13</v>
      </c>
      <c r="B21" s="12" t="s">
        <v>126</v>
      </c>
      <c r="C21" s="405">
        <v>271517</v>
      </c>
      <c r="D21" s="351">
        <f>C21/'- 3 -'!E21</f>
        <v>0.01373493279890338</v>
      </c>
      <c r="E21" s="405">
        <f>IF(AND(C21&gt;0,'- 7 -'!F21=0),"N/A ",IF(C21&gt;0,C21/'- 7 -'!F21,0))</f>
        <v>16555.914634146342</v>
      </c>
      <c r="F21" s="405">
        <v>994554</v>
      </c>
      <c r="G21" s="351">
        <f>F21/'- 3 -'!E21</f>
        <v>0.05031041280980768</v>
      </c>
      <c r="H21" s="405">
        <f>F21/'- 7 -'!H21</f>
        <v>371.907112407449</v>
      </c>
      <c r="I21" s="405">
        <v>587491</v>
      </c>
      <c r="J21" s="351">
        <f>I21/'- 3 -'!E21</f>
        <v>0.029718763115976328</v>
      </c>
      <c r="K21" s="405">
        <f>I21/'- 7 -'!H21</f>
        <v>219.68850497345002</v>
      </c>
    </row>
    <row r="22" spans="1:11" ht="12.75">
      <c r="A22" s="13">
        <v>14</v>
      </c>
      <c r="B22" s="14" t="s">
        <v>127</v>
      </c>
      <c r="C22" s="406">
        <v>0</v>
      </c>
      <c r="D22" s="352">
        <f>C22/'- 3 -'!E22</f>
        <v>0</v>
      </c>
      <c r="E22" s="406">
        <f>IF(AND(C22&gt;0,'- 7 -'!F22=0),"N/A ",IF(C22&gt;0,C22/'- 7 -'!F22,0))</f>
        <v>0</v>
      </c>
      <c r="F22" s="406">
        <v>1451310</v>
      </c>
      <c r="G22" s="352">
        <f>F22/'- 3 -'!E22</f>
        <v>0.06311337464340586</v>
      </c>
      <c r="H22" s="406">
        <f>F22/'- 7 -'!H22</f>
        <v>412.8317451287157</v>
      </c>
      <c r="I22" s="406">
        <v>660117</v>
      </c>
      <c r="J22" s="352">
        <f>I22/'- 3 -'!E22</f>
        <v>0.028706624724890713</v>
      </c>
      <c r="K22" s="406">
        <f>I22/'- 7 -'!H22</f>
        <v>187.77328971696772</v>
      </c>
    </row>
    <row r="23" spans="1:11" ht="12.75">
      <c r="A23" s="11">
        <v>15</v>
      </c>
      <c r="B23" s="12" t="s">
        <v>128</v>
      </c>
      <c r="C23" s="405">
        <v>85285</v>
      </c>
      <c r="D23" s="351">
        <f>C23/'- 3 -'!E23</f>
        <v>0.0026662074856201898</v>
      </c>
      <c r="E23" s="405">
        <f>IF(AND(C23&gt;0,'- 7 -'!F23=0),"N/A ",IF(C23&gt;0,C23/'- 7 -'!F23,0))</f>
        <v>14214.166666666666</v>
      </c>
      <c r="F23" s="405">
        <v>1142525</v>
      </c>
      <c r="G23" s="351">
        <f>F23/'- 3 -'!E23</f>
        <v>0.03571798918342273</v>
      </c>
      <c r="H23" s="405">
        <f>F23/'- 7 -'!H23</f>
        <v>190.61144477811143</v>
      </c>
      <c r="I23" s="405">
        <v>1036477</v>
      </c>
      <c r="J23" s="351">
        <f>I23/'- 3 -'!E23</f>
        <v>0.03240268201997019</v>
      </c>
      <c r="K23" s="405">
        <f>I23/'- 7 -'!H23</f>
        <v>172.91908575241908</v>
      </c>
    </row>
    <row r="24" spans="1:11" ht="12.75">
      <c r="A24" s="13">
        <v>16</v>
      </c>
      <c r="B24" s="14" t="s">
        <v>129</v>
      </c>
      <c r="C24" s="406">
        <v>0</v>
      </c>
      <c r="D24" s="352">
        <f>C24/'- 3 -'!E24</f>
        <v>0</v>
      </c>
      <c r="E24" s="406">
        <f>IF(AND(C24&gt;0,'- 7 -'!F24=0),"N/A ",IF(C24&gt;0,C24/'- 7 -'!F24,0))</f>
        <v>0</v>
      </c>
      <c r="F24" s="406">
        <v>330251</v>
      </c>
      <c r="G24" s="352">
        <f>F24/'- 3 -'!E24</f>
        <v>0.05343940468829072</v>
      </c>
      <c r="H24" s="406">
        <f>F24/'- 7 -'!H24</f>
        <v>392.78187440532827</v>
      </c>
      <c r="I24" s="406">
        <v>110756</v>
      </c>
      <c r="J24" s="352">
        <f>I24/'- 3 -'!E24</f>
        <v>0.01792192818691337</v>
      </c>
      <c r="K24" s="406">
        <f>I24/'- 7 -'!H24</f>
        <v>131.7269267364415</v>
      </c>
    </row>
    <row r="25" spans="1:11" ht="12.75">
      <c r="A25" s="11">
        <v>17</v>
      </c>
      <c r="B25" s="12" t="s">
        <v>130</v>
      </c>
      <c r="C25" s="405">
        <v>96941</v>
      </c>
      <c r="D25" s="351">
        <f>C25/'- 3 -'!E25</f>
        <v>0.023286857226974208</v>
      </c>
      <c r="E25" s="405">
        <f>IF(AND(C25&gt;0,'- 7 -'!F25=0),"N/A ",IF(C25&gt;0,C25/'- 7 -'!F25,0))</f>
        <v>13848.714285714286</v>
      </c>
      <c r="F25" s="405">
        <v>143582</v>
      </c>
      <c r="G25" s="351">
        <f>F25/'- 3 -'!E25</f>
        <v>0.034490809196969396</v>
      </c>
      <c r="H25" s="405">
        <f>F25/'- 7 -'!H25</f>
        <v>294.2254098360656</v>
      </c>
      <c r="I25" s="405">
        <v>129629</v>
      </c>
      <c r="J25" s="351">
        <f>I25/'- 3 -'!E25</f>
        <v>0.03113906412638037</v>
      </c>
      <c r="K25" s="405">
        <f>I25/'- 7 -'!H25</f>
        <v>265.6331967213115</v>
      </c>
    </row>
    <row r="26" spans="1:11" ht="12.75">
      <c r="A26" s="13">
        <v>18</v>
      </c>
      <c r="B26" s="14" t="s">
        <v>131</v>
      </c>
      <c r="C26" s="406">
        <v>0</v>
      </c>
      <c r="D26" s="352">
        <f>C26/'- 3 -'!E26</f>
        <v>0</v>
      </c>
      <c r="E26" s="406">
        <f>IF(AND(C26&gt;0,'- 7 -'!F26=0),"N/A ",IF(C26&gt;0,C26/'- 7 -'!F26,0))</f>
        <v>0</v>
      </c>
      <c r="F26" s="406">
        <v>257697</v>
      </c>
      <c r="G26" s="352">
        <f>F26/'- 3 -'!E26</f>
        <v>0.026832610513707084</v>
      </c>
      <c r="H26" s="406">
        <f>F26/'- 7 -'!H26</f>
        <v>175.2444746684801</v>
      </c>
      <c r="I26" s="406">
        <v>604758</v>
      </c>
      <c r="J26" s="352">
        <f>I26/'- 3 -'!E26</f>
        <v>0.06297021645206761</v>
      </c>
      <c r="K26" s="406">
        <f>I26/'- 7 -'!H26</f>
        <v>411.26011560693644</v>
      </c>
    </row>
    <row r="27" spans="1:11" ht="12.75">
      <c r="A27" s="11">
        <v>19</v>
      </c>
      <c r="B27" s="12" t="s">
        <v>132</v>
      </c>
      <c r="C27" s="405">
        <v>0</v>
      </c>
      <c r="D27" s="351">
        <f>C27/'- 3 -'!E27</f>
        <v>0</v>
      </c>
      <c r="E27" s="405">
        <f>IF(AND(C27&gt;0,'- 7 -'!F27=0),"N/A ",IF(C27&gt;0,C27/'- 7 -'!F27,0))</f>
        <v>0</v>
      </c>
      <c r="F27" s="405">
        <v>656056</v>
      </c>
      <c r="G27" s="351">
        <f>F27/'- 3 -'!E27</f>
        <v>0.04463135992405959</v>
      </c>
      <c r="H27" s="405">
        <f>F27/'- 7 -'!H27</f>
        <v>353.00295937584076</v>
      </c>
      <c r="I27" s="405">
        <v>450383</v>
      </c>
      <c r="J27" s="351">
        <f>I27/'- 3 -'!E27</f>
        <v>0.03063946641243694</v>
      </c>
      <c r="K27" s="405">
        <f>I27/'- 7 -'!H27</f>
        <v>242.33683077750874</v>
      </c>
    </row>
    <row r="28" spans="1:11" ht="12.75">
      <c r="A28" s="13">
        <v>20</v>
      </c>
      <c r="B28" s="14" t="s">
        <v>133</v>
      </c>
      <c r="C28" s="406">
        <v>75102</v>
      </c>
      <c r="D28" s="352">
        <f>C28/'- 3 -'!E28</f>
        <v>0.009935308444747597</v>
      </c>
      <c r="E28" s="406">
        <f>IF(AND(C28&gt;0,'- 7 -'!F28=0),"N/A ",IF(C28&gt;0,C28/'- 7 -'!F28,0))</f>
        <v>8344.666666666666</v>
      </c>
      <c r="F28" s="406">
        <v>339884</v>
      </c>
      <c r="G28" s="352">
        <f>F28/'- 3 -'!E28</f>
        <v>0.0449635479139649</v>
      </c>
      <c r="H28" s="406">
        <f>F28/'- 7 -'!H28</f>
        <v>356.0859088528025</v>
      </c>
      <c r="I28" s="406">
        <v>249770</v>
      </c>
      <c r="J28" s="352">
        <f>I28/'- 3 -'!E28</f>
        <v>0.03304228902352277</v>
      </c>
      <c r="K28" s="406">
        <f>I28/'- 7 -'!H28</f>
        <v>261.6762702985856</v>
      </c>
    </row>
    <row r="29" spans="1:11" ht="12.75">
      <c r="A29" s="11">
        <v>21</v>
      </c>
      <c r="B29" s="12" t="s">
        <v>134</v>
      </c>
      <c r="C29" s="405">
        <v>314195</v>
      </c>
      <c r="D29" s="351">
        <f>C29/'- 3 -'!E29</f>
        <v>0.014085990286878175</v>
      </c>
      <c r="E29" s="405">
        <f>IF(AND(C29&gt;0,'- 7 -'!F29=0),"N/A ",IF(C29&gt;0,C29/'- 7 -'!F29,0))</f>
        <v>15709.75</v>
      </c>
      <c r="F29" s="405">
        <v>540292</v>
      </c>
      <c r="G29" s="351">
        <f>F29/'- 3 -'!E29</f>
        <v>0.02422237102461205</v>
      </c>
      <c r="H29" s="405">
        <f>F29/'- 7 -'!H29</f>
        <v>157.45067754626257</v>
      </c>
      <c r="I29" s="405">
        <v>1350229</v>
      </c>
      <c r="J29" s="351">
        <f>I29/'- 3 -'!E29</f>
        <v>0.06053346672945538</v>
      </c>
      <c r="K29" s="405">
        <f>I29/'- 7 -'!H29</f>
        <v>393.48069357423867</v>
      </c>
    </row>
    <row r="30" spans="1:11" ht="12.75">
      <c r="A30" s="13">
        <v>22</v>
      </c>
      <c r="B30" s="14" t="s">
        <v>135</v>
      </c>
      <c r="C30" s="406">
        <v>0</v>
      </c>
      <c r="D30" s="352">
        <f>C30/'- 3 -'!E30</f>
        <v>0</v>
      </c>
      <c r="E30" s="406">
        <f>IF(AND(C30&gt;0,'- 7 -'!F30=0),"N/A ",IF(C30&gt;0,C30/'- 7 -'!F30,0))</f>
        <v>0</v>
      </c>
      <c r="F30" s="406">
        <v>510185</v>
      </c>
      <c r="G30" s="352">
        <f>F30/'- 3 -'!E30</f>
        <v>0.043339970439266316</v>
      </c>
      <c r="H30" s="406">
        <f>F30/'- 7 -'!H30</f>
        <v>288.97479467572924</v>
      </c>
      <c r="I30" s="406">
        <v>538547</v>
      </c>
      <c r="J30" s="352">
        <f>I30/'- 3 -'!E30</f>
        <v>0.04574930870205035</v>
      </c>
      <c r="K30" s="406">
        <f>I30/'- 7 -'!H30</f>
        <v>305.0393656188049</v>
      </c>
    </row>
    <row r="31" spans="1:11" ht="12.75">
      <c r="A31" s="11">
        <v>23</v>
      </c>
      <c r="B31" s="12" t="s">
        <v>136</v>
      </c>
      <c r="C31" s="405">
        <v>0</v>
      </c>
      <c r="D31" s="351">
        <f>C31/'- 3 -'!E31</f>
        <v>0</v>
      </c>
      <c r="E31" s="405">
        <f>IF(AND(C31&gt;0,'- 7 -'!F31=0),"N/A ",IF(C31&gt;0,C31/'- 7 -'!F31,0))</f>
        <v>0</v>
      </c>
      <c r="F31" s="405">
        <v>761188</v>
      </c>
      <c r="G31" s="351">
        <f>F31/'- 3 -'!E31</f>
        <v>0.07525847521473523</v>
      </c>
      <c r="H31" s="405">
        <f>F31/'- 7 -'!H31</f>
        <v>529.3379694019471</v>
      </c>
      <c r="I31" s="405">
        <v>347484</v>
      </c>
      <c r="J31" s="351">
        <f>I31/'- 3 -'!E31</f>
        <v>0.03435565983898466</v>
      </c>
      <c r="K31" s="405">
        <f>I31/'- 7 -'!H31</f>
        <v>241.64394993045897</v>
      </c>
    </row>
    <row r="32" spans="1:11" ht="12.75">
      <c r="A32" s="13">
        <v>24</v>
      </c>
      <c r="B32" s="14" t="s">
        <v>137</v>
      </c>
      <c r="C32" s="406">
        <v>795887</v>
      </c>
      <c r="D32" s="352">
        <f>C32/'- 3 -'!E32</f>
        <v>0.035013031668196505</v>
      </c>
      <c r="E32" s="406">
        <f>IF(AND(C32&gt;0,'- 7 -'!F32=0),"N/A ",IF(C32&gt;0,C32/'- 7 -'!F32,0))</f>
        <v>9308.619883040936</v>
      </c>
      <c r="F32" s="406">
        <v>1122287</v>
      </c>
      <c r="G32" s="352">
        <f>F32/'- 3 -'!E32</f>
        <v>0.049372172521733926</v>
      </c>
      <c r="H32" s="406">
        <f>F32/'- 7 -'!H32</f>
        <v>314.10215505177723</v>
      </c>
      <c r="I32" s="406">
        <v>797829</v>
      </c>
      <c r="J32" s="352">
        <f>I32/'- 3 -'!E32</f>
        <v>0.03509846503687778</v>
      </c>
      <c r="K32" s="406">
        <f>I32/'- 7 -'!H32</f>
        <v>223.29387069689338</v>
      </c>
    </row>
    <row r="33" spans="1:11" ht="12.75">
      <c r="A33" s="11">
        <v>25</v>
      </c>
      <c r="B33" s="12" t="s">
        <v>138</v>
      </c>
      <c r="C33" s="405">
        <v>0</v>
      </c>
      <c r="D33" s="351">
        <f>C33/'- 3 -'!E33</f>
        <v>0</v>
      </c>
      <c r="E33" s="405">
        <f>IF(AND(C33&gt;0,'- 7 -'!F33=0),"N/A ",IF(C33&gt;0,C33/'- 7 -'!F33,0))</f>
        <v>0</v>
      </c>
      <c r="F33" s="405">
        <v>338752</v>
      </c>
      <c r="G33" s="351">
        <f>F33/'- 3 -'!E33</f>
        <v>0.032236778621284656</v>
      </c>
      <c r="H33" s="405">
        <f>F33/'- 7 -'!H33</f>
        <v>232.1650332396683</v>
      </c>
      <c r="I33" s="405">
        <v>403365</v>
      </c>
      <c r="J33" s="351">
        <f>I33/'- 3 -'!E33</f>
        <v>0.038385568819001764</v>
      </c>
      <c r="K33" s="405">
        <f>I33/'- 7 -'!H33</f>
        <v>276.4478102940169</v>
      </c>
    </row>
    <row r="34" spans="1:11" ht="12.75">
      <c r="A34" s="13">
        <v>26</v>
      </c>
      <c r="B34" s="14" t="s">
        <v>139</v>
      </c>
      <c r="C34" s="406">
        <v>650833</v>
      </c>
      <c r="D34" s="352">
        <f>C34/'- 3 -'!E34</f>
        <v>0.04012690012786564</v>
      </c>
      <c r="E34" s="406">
        <f>IF(AND(C34&gt;0,'- 7 -'!F34=0),"N/A ",IF(C34&gt;0,C34/'- 7 -'!F34,0))</f>
        <v>11240.6390328152</v>
      </c>
      <c r="F34" s="406">
        <v>600609</v>
      </c>
      <c r="G34" s="352">
        <f>F34/'- 3 -'!E34</f>
        <v>0.0370303554965671</v>
      </c>
      <c r="H34" s="406">
        <f>F34/'- 7 -'!H34</f>
        <v>211.25145088108053</v>
      </c>
      <c r="I34" s="406">
        <v>523287</v>
      </c>
      <c r="J34" s="352">
        <f>I34/'- 3 -'!E34</f>
        <v>0.03226309235581236</v>
      </c>
      <c r="K34" s="406">
        <f>I34/'- 7 -'!H34</f>
        <v>184.0550807217474</v>
      </c>
    </row>
    <row r="35" spans="1:11" ht="12.75">
      <c r="A35" s="11">
        <v>28</v>
      </c>
      <c r="B35" s="12" t="s">
        <v>140</v>
      </c>
      <c r="C35" s="405">
        <v>0</v>
      </c>
      <c r="D35" s="351">
        <f>C35/'- 3 -'!E35</f>
        <v>0</v>
      </c>
      <c r="E35" s="405">
        <f>IF(AND(C35&gt;0,'- 7 -'!F35=0),"N/A ",IF(C35&gt;0,C35/'- 7 -'!F35,0))</f>
        <v>0</v>
      </c>
      <c r="F35" s="405">
        <v>208420</v>
      </c>
      <c r="G35" s="351">
        <f>F35/'- 3 -'!E35</f>
        <v>0.032721157866163524</v>
      </c>
      <c r="H35" s="405">
        <f>F35/'- 7 -'!H35</f>
        <v>236.48617982117733</v>
      </c>
      <c r="I35" s="405">
        <v>201512</v>
      </c>
      <c r="J35" s="351">
        <f>I35/'- 3 -'!E35</f>
        <v>0.03163662778968594</v>
      </c>
      <c r="K35" s="405">
        <f>I35/'- 7 -'!H35</f>
        <v>228.6479371851314</v>
      </c>
    </row>
    <row r="36" spans="1:11" ht="12.75">
      <c r="A36" s="13">
        <v>30</v>
      </c>
      <c r="B36" s="14" t="s">
        <v>141</v>
      </c>
      <c r="C36" s="406">
        <v>0</v>
      </c>
      <c r="D36" s="352">
        <f>C36/'- 3 -'!E36</f>
        <v>0</v>
      </c>
      <c r="E36" s="406">
        <f>IF(AND(C36&gt;0,'- 7 -'!F36=0),"N/A ",IF(C36&gt;0,C36/'- 7 -'!F36,0))</f>
        <v>0</v>
      </c>
      <c r="F36" s="406">
        <v>460920</v>
      </c>
      <c r="G36" s="352">
        <f>F36/'- 3 -'!E36</f>
        <v>0.04988879686301947</v>
      </c>
      <c r="H36" s="406">
        <f>F36/'- 7 -'!H36</f>
        <v>354.0908043327956</v>
      </c>
      <c r="I36" s="406">
        <v>368686</v>
      </c>
      <c r="J36" s="352">
        <f>I36/'- 3 -'!E36</f>
        <v>0.039905625618847515</v>
      </c>
      <c r="K36" s="406">
        <f>I36/'- 7 -'!H36</f>
        <v>283.2342321579473</v>
      </c>
    </row>
    <row r="37" spans="1:11" ht="12.75">
      <c r="A37" s="11">
        <v>31</v>
      </c>
      <c r="B37" s="12" t="s">
        <v>142</v>
      </c>
      <c r="C37" s="405">
        <v>426292</v>
      </c>
      <c r="D37" s="351">
        <f>C37/'- 3 -'!E37</f>
        <v>0.039621411838798894</v>
      </c>
      <c r="E37" s="405">
        <f>IF(AND(C37&gt;0,'- 7 -'!F37=0),"N/A ",IF(C37&gt;0,C37/'- 7 -'!F37,0))</f>
        <v>9688.454545454546</v>
      </c>
      <c r="F37" s="405">
        <v>411818</v>
      </c>
      <c r="G37" s="351">
        <f>F37/'- 3 -'!E37</f>
        <v>0.0382761360303043</v>
      </c>
      <c r="H37" s="405">
        <f>F37/'- 7 -'!H37</f>
        <v>249.43549364021806</v>
      </c>
      <c r="I37" s="405">
        <v>178562</v>
      </c>
      <c r="J37" s="351">
        <f>I37/'- 3 -'!E37</f>
        <v>0.01659632022360168</v>
      </c>
      <c r="K37" s="405">
        <f>I37/'- 7 -'!H37</f>
        <v>108.15384615384616</v>
      </c>
    </row>
    <row r="38" spans="1:11" ht="12.75">
      <c r="A38" s="13">
        <v>32</v>
      </c>
      <c r="B38" s="14" t="s">
        <v>143</v>
      </c>
      <c r="C38" s="406">
        <v>0</v>
      </c>
      <c r="D38" s="352">
        <f>C38/'- 3 -'!E38</f>
        <v>0</v>
      </c>
      <c r="E38" s="406">
        <f>IF(AND(C38&gt;0,'- 7 -'!F38=0),"N/A ",IF(C38&gt;0,C38/'- 7 -'!F38,0))</f>
        <v>0</v>
      </c>
      <c r="F38" s="406">
        <v>369981</v>
      </c>
      <c r="G38" s="352">
        <f>F38/'- 3 -'!E38</f>
        <v>0.05832561193944845</v>
      </c>
      <c r="H38" s="406">
        <f>F38/'- 7 -'!H38</f>
        <v>446.29794933655006</v>
      </c>
      <c r="I38" s="406">
        <v>324780</v>
      </c>
      <c r="J38" s="352">
        <f>I38/'- 3 -'!E38</f>
        <v>0.05119990552405142</v>
      </c>
      <c r="K38" s="406">
        <f>I38/'- 7 -'!H38</f>
        <v>391.773220747889</v>
      </c>
    </row>
    <row r="39" spans="1:11" ht="12.75">
      <c r="A39" s="11">
        <v>33</v>
      </c>
      <c r="B39" s="12" t="s">
        <v>144</v>
      </c>
      <c r="C39" s="405">
        <v>85852</v>
      </c>
      <c r="D39" s="351">
        <f>C39/'- 3 -'!E39</f>
        <v>0.0066034793410519555</v>
      </c>
      <c r="E39" s="405">
        <f>IF(AND(C39&gt;0,'- 7 -'!F39=0),"N/A ",IF(C39&gt;0,C39/'- 7 -'!F39,0))</f>
        <v>5365.75</v>
      </c>
      <c r="F39" s="405">
        <v>876156</v>
      </c>
      <c r="G39" s="351">
        <f>F39/'- 3 -'!E39</f>
        <v>0.06739130183966265</v>
      </c>
      <c r="H39" s="405">
        <f>F39/'- 7 -'!H39</f>
        <v>460.40777719390434</v>
      </c>
      <c r="I39" s="405">
        <v>599865</v>
      </c>
      <c r="J39" s="351">
        <f>I39/'- 3 -'!E39</f>
        <v>0.04613982359083226</v>
      </c>
      <c r="K39" s="405">
        <f>I39/'- 7 -'!H39</f>
        <v>315.22070415134</v>
      </c>
    </row>
    <row r="40" spans="1:11" ht="12.75">
      <c r="A40" s="13">
        <v>34</v>
      </c>
      <c r="B40" s="14" t="s">
        <v>145</v>
      </c>
      <c r="C40" s="406">
        <v>0</v>
      </c>
      <c r="D40" s="352">
        <f>C40/'- 3 -'!E40</f>
        <v>0</v>
      </c>
      <c r="E40" s="406">
        <f>IF(AND(C40&gt;0,'- 7 -'!F40=0),"N/A ",IF(C40&gt;0,C40/'- 7 -'!F40,0))</f>
        <v>0</v>
      </c>
      <c r="F40" s="406">
        <v>139064.4</v>
      </c>
      <c r="G40" s="352">
        <f>F40/'- 3 -'!E40</f>
        <v>0.024023740149440177</v>
      </c>
      <c r="H40" s="406">
        <f>F40/'- 7 -'!H40</f>
        <v>189.71950886766712</v>
      </c>
      <c r="I40" s="406">
        <v>186198.89</v>
      </c>
      <c r="J40" s="352">
        <f>I40/'- 3 -'!E40</f>
        <v>0.03216634702680338</v>
      </c>
      <c r="K40" s="406">
        <f>I40/'- 7 -'!H40</f>
        <v>254.0230422919509</v>
      </c>
    </row>
    <row r="41" spans="1:11" ht="12.75">
      <c r="A41" s="11">
        <v>35</v>
      </c>
      <c r="B41" s="12" t="s">
        <v>146</v>
      </c>
      <c r="C41" s="405">
        <v>0</v>
      </c>
      <c r="D41" s="351">
        <f>C41/'- 3 -'!E41</f>
        <v>0</v>
      </c>
      <c r="E41" s="405">
        <f>IF(AND(C41&gt;0,'- 7 -'!F41=0),"N/A ",IF(C41&gt;0,C41/'- 7 -'!F41,0))</f>
        <v>0</v>
      </c>
      <c r="F41" s="405">
        <v>891622</v>
      </c>
      <c r="G41" s="351">
        <f>F41/'- 3 -'!E41</f>
        <v>0.0640588249313666</v>
      </c>
      <c r="H41" s="405">
        <f>F41/'- 7 -'!H41</f>
        <v>463.46917558997814</v>
      </c>
      <c r="I41" s="405">
        <v>379933</v>
      </c>
      <c r="J41" s="351">
        <f>I41/'- 3 -'!E41</f>
        <v>0.027296389650153206</v>
      </c>
      <c r="K41" s="405">
        <f>I41/'- 7 -'!H41</f>
        <v>197.49090342031394</v>
      </c>
    </row>
    <row r="42" spans="1:11" ht="12.75">
      <c r="A42" s="13">
        <v>36</v>
      </c>
      <c r="B42" s="14" t="s">
        <v>147</v>
      </c>
      <c r="C42" s="406">
        <v>0</v>
      </c>
      <c r="D42" s="352">
        <f>C42/'- 3 -'!E42</f>
        <v>0</v>
      </c>
      <c r="E42" s="406">
        <f>IF(AND(C42&gt;0,'- 7 -'!F42=0),"N/A ",IF(C42&gt;0,C42/'- 7 -'!F42,0))</f>
        <v>0</v>
      </c>
      <c r="F42" s="406">
        <v>270410</v>
      </c>
      <c r="G42" s="352">
        <f>F42/'- 3 -'!E42</f>
        <v>0.03374358786039754</v>
      </c>
      <c r="H42" s="406">
        <f>F42/'- 7 -'!H42</f>
        <v>268.1308874566187</v>
      </c>
      <c r="I42" s="406">
        <v>181544</v>
      </c>
      <c r="J42" s="352">
        <f>I42/'- 3 -'!E42</f>
        <v>0.022654287617055627</v>
      </c>
      <c r="K42" s="406">
        <f>I42/'- 7 -'!H42</f>
        <v>180.01388200297473</v>
      </c>
    </row>
    <row r="43" spans="1:11" ht="12.75">
      <c r="A43" s="11">
        <v>37</v>
      </c>
      <c r="B43" s="12" t="s">
        <v>148</v>
      </c>
      <c r="C43" s="405">
        <v>0</v>
      </c>
      <c r="D43" s="351">
        <f>C43/'- 3 -'!E43</f>
        <v>0</v>
      </c>
      <c r="E43" s="405">
        <f>IF(AND(C43&gt;0,'- 7 -'!F43=0),"N/A ",IF(C43&gt;0,C43/'- 7 -'!F43,0))</f>
        <v>0</v>
      </c>
      <c r="F43" s="405">
        <v>233031</v>
      </c>
      <c r="G43" s="351">
        <f>F43/'- 3 -'!E43</f>
        <v>0.033908195579048554</v>
      </c>
      <c r="H43" s="405">
        <f>F43/'- 7 -'!H43</f>
        <v>241.98442367601245</v>
      </c>
      <c r="I43" s="405">
        <v>200207</v>
      </c>
      <c r="J43" s="351">
        <f>I43/'- 3 -'!E43</f>
        <v>0.02913199579581504</v>
      </c>
      <c r="K43" s="405">
        <f>I43/'- 7 -'!H43</f>
        <v>207.8992731048806</v>
      </c>
    </row>
    <row r="44" spans="1:11" ht="12.75">
      <c r="A44" s="13">
        <v>38</v>
      </c>
      <c r="B44" s="14" t="s">
        <v>149</v>
      </c>
      <c r="C44" s="406">
        <v>0</v>
      </c>
      <c r="D44" s="352">
        <f>C44/'- 3 -'!E44</f>
        <v>0</v>
      </c>
      <c r="E44" s="406">
        <f>IF(AND(C44&gt;0,'- 7 -'!F44=0),"N/A ",IF(C44&gt;0,C44/'- 7 -'!F44,0))</f>
        <v>0</v>
      </c>
      <c r="F44" s="406">
        <v>226223</v>
      </c>
      <c r="G44" s="352">
        <f>F44/'- 3 -'!E44</f>
        <v>0.025322464809606066</v>
      </c>
      <c r="H44" s="406">
        <f>F44/'- 7 -'!H44</f>
        <v>193.68407534246575</v>
      </c>
      <c r="I44" s="406">
        <v>430003</v>
      </c>
      <c r="J44" s="352">
        <f>I44/'- 3 -'!E44</f>
        <v>0.04813275323696104</v>
      </c>
      <c r="K44" s="406">
        <f>I44/'- 7 -'!H44</f>
        <v>368.1532534246575</v>
      </c>
    </row>
    <row r="45" spans="1:11" ht="12.75">
      <c r="A45" s="11">
        <v>39</v>
      </c>
      <c r="B45" s="12" t="s">
        <v>150</v>
      </c>
      <c r="C45" s="405">
        <v>0</v>
      </c>
      <c r="D45" s="351">
        <f>C45/'- 3 -'!E45</f>
        <v>0</v>
      </c>
      <c r="E45" s="405">
        <f>IF(AND(C45&gt;0,'- 7 -'!F45=0),"N/A ",IF(C45&gt;0,C45/'- 7 -'!F45,0))</f>
        <v>0</v>
      </c>
      <c r="F45" s="405">
        <v>638933</v>
      </c>
      <c r="G45" s="351">
        <f>F45/'- 3 -'!E45</f>
        <v>0.04281786940199011</v>
      </c>
      <c r="H45" s="405">
        <f>F45/'- 7 -'!H45</f>
        <v>301.3834905660377</v>
      </c>
      <c r="I45" s="405">
        <v>467568</v>
      </c>
      <c r="J45" s="351">
        <f>I45/'- 3 -'!E45</f>
        <v>0.031333904432154405</v>
      </c>
      <c r="K45" s="405">
        <f>I45/'- 7 -'!H45</f>
        <v>220.55094339622642</v>
      </c>
    </row>
    <row r="46" spans="1:11" ht="12.75">
      <c r="A46" s="13">
        <v>40</v>
      </c>
      <c r="B46" s="14" t="s">
        <v>151</v>
      </c>
      <c r="C46" s="406">
        <v>2070463</v>
      </c>
      <c r="D46" s="352">
        <f>C46/'- 3 -'!E46</f>
        <v>0.0462165554298414</v>
      </c>
      <c r="E46" s="406">
        <f>IF(AND(C46&gt;0,'- 7 -'!F46=0),"N/A ",IF(C46&gt;0,C46/'- 7 -'!F46,0))</f>
        <v>9954.149038461539</v>
      </c>
      <c r="F46" s="406">
        <v>1599499</v>
      </c>
      <c r="G46" s="352">
        <f>F46/'- 3 -'!E46</f>
        <v>0.035703769733376495</v>
      </c>
      <c r="H46" s="406">
        <f>F46/'- 7 -'!H46</f>
        <v>216.11930820159438</v>
      </c>
      <c r="I46" s="406">
        <v>1860436</v>
      </c>
      <c r="J46" s="352">
        <f>I46/'- 3 -'!E46</f>
        <v>0.04152836516164376</v>
      </c>
      <c r="K46" s="406">
        <f>I46/'- 7 -'!H46</f>
        <v>251.37630049993246</v>
      </c>
    </row>
    <row r="47" spans="1:11" ht="12.75">
      <c r="A47" s="11">
        <v>41</v>
      </c>
      <c r="B47" s="12" t="s">
        <v>152</v>
      </c>
      <c r="C47" s="405">
        <v>0</v>
      </c>
      <c r="D47" s="351">
        <f>C47/'- 3 -'!E47</f>
        <v>0</v>
      </c>
      <c r="E47" s="405">
        <f>IF(AND(C47&gt;0,'- 7 -'!F47=0),"N/A ",IF(C47&gt;0,C47/'- 7 -'!F47,0))</f>
        <v>0</v>
      </c>
      <c r="F47" s="405">
        <v>370096</v>
      </c>
      <c r="G47" s="351">
        <f>F47/'- 3 -'!E47</f>
        <v>0.030154123374472715</v>
      </c>
      <c r="H47" s="405">
        <f>F47/'- 7 -'!H47</f>
        <v>223.5284169837531</v>
      </c>
      <c r="I47" s="405">
        <v>692270</v>
      </c>
      <c r="J47" s="351">
        <f>I47/'- 3 -'!E47</f>
        <v>0.056403730352249756</v>
      </c>
      <c r="K47" s="405">
        <f>I47/'- 7 -'!H47</f>
        <v>418.11318475569243</v>
      </c>
    </row>
    <row r="48" spans="1:11" ht="12.75">
      <c r="A48" s="13">
        <v>42</v>
      </c>
      <c r="B48" s="14" t="s">
        <v>153</v>
      </c>
      <c r="C48" s="406">
        <v>0</v>
      </c>
      <c r="D48" s="352">
        <f>C48/'- 3 -'!E48</f>
        <v>0</v>
      </c>
      <c r="E48" s="406">
        <f>IF(AND(C48&gt;0,'- 7 -'!F48=0),"N/A ",IF(C48&gt;0,C48/'- 7 -'!F48,0))</f>
        <v>0</v>
      </c>
      <c r="F48" s="406">
        <v>400498</v>
      </c>
      <c r="G48" s="352">
        <f>F48/'- 3 -'!E48</f>
        <v>0.051816189140255806</v>
      </c>
      <c r="H48" s="406">
        <f>F48/'- 7 -'!H48</f>
        <v>378.9006622516556</v>
      </c>
      <c r="I48" s="406">
        <v>269492</v>
      </c>
      <c r="J48" s="352">
        <f>I48/'- 3 -'!E48</f>
        <v>0.03486671205295861</v>
      </c>
      <c r="K48" s="406">
        <f>I48/'- 7 -'!H48</f>
        <v>254.9593188268685</v>
      </c>
    </row>
    <row r="49" spans="1:11" ht="12.75">
      <c r="A49" s="11">
        <v>43</v>
      </c>
      <c r="B49" s="12" t="s">
        <v>154</v>
      </c>
      <c r="C49" s="405">
        <v>0</v>
      </c>
      <c r="D49" s="351">
        <f>C49/'- 3 -'!E49</f>
        <v>0</v>
      </c>
      <c r="E49" s="405">
        <f>IF(AND(C49&gt;0,'- 7 -'!F49=0),"N/A ",IF(C49&gt;0,C49/'- 7 -'!F49,0))</f>
        <v>0</v>
      </c>
      <c r="F49" s="405">
        <v>186130</v>
      </c>
      <c r="G49" s="351">
        <f>F49/'- 3 -'!E49</f>
        <v>0.029272857378763693</v>
      </c>
      <c r="H49" s="405">
        <f>F49/'- 7 -'!H49</f>
        <v>239.08798972382786</v>
      </c>
      <c r="I49" s="405">
        <v>163016</v>
      </c>
      <c r="J49" s="351">
        <f>I49/'- 3 -'!E49</f>
        <v>0.025637694721197778</v>
      </c>
      <c r="K49" s="405">
        <f>I49/'- 7 -'!H49</f>
        <v>209.3975594091201</v>
      </c>
    </row>
    <row r="50" spans="1:11" ht="12.75">
      <c r="A50" s="13">
        <v>44</v>
      </c>
      <c r="B50" s="14" t="s">
        <v>155</v>
      </c>
      <c r="C50" s="406">
        <v>0</v>
      </c>
      <c r="D50" s="352">
        <f>C50/'- 3 -'!E50</f>
        <v>0</v>
      </c>
      <c r="E50" s="406">
        <f>IF(AND(C50&gt;0,'- 7 -'!F50=0),"N/A ",IF(C50&gt;0,C50/'- 7 -'!F50,0))</f>
        <v>0</v>
      </c>
      <c r="F50" s="406">
        <v>301315</v>
      </c>
      <c r="G50" s="352">
        <f>F50/'- 3 -'!E50</f>
        <v>0.032570883274489586</v>
      </c>
      <c r="H50" s="406">
        <f>F50/'- 7 -'!H50</f>
        <v>242.31202251708885</v>
      </c>
      <c r="I50" s="406">
        <v>683365</v>
      </c>
      <c r="J50" s="352">
        <f>I50/'- 3 -'!E50</f>
        <v>0.07386888023786263</v>
      </c>
      <c r="K50" s="406">
        <f>I50/'- 7 -'!H50</f>
        <v>549.5496582227584</v>
      </c>
    </row>
    <row r="51" spans="1:11" ht="12.75">
      <c r="A51" s="11">
        <v>45</v>
      </c>
      <c r="B51" s="12" t="s">
        <v>156</v>
      </c>
      <c r="C51" s="405">
        <v>446193</v>
      </c>
      <c r="D51" s="351">
        <f>C51/'- 3 -'!E51</f>
        <v>0.036999583561578404</v>
      </c>
      <c r="E51" s="405">
        <f>IF(AND(C51&gt;0,'- 7 -'!F51=0),"N/A ",IF(C51&gt;0,C51/'- 7 -'!F51,0))</f>
        <v>12059.27027027027</v>
      </c>
      <c r="F51" s="405">
        <v>533002</v>
      </c>
      <c r="G51" s="351">
        <f>F51/'- 3 -'!E51</f>
        <v>0.04419803098096208</v>
      </c>
      <c r="H51" s="405">
        <f>F51/'- 7 -'!H51</f>
        <v>282.894750809405</v>
      </c>
      <c r="I51" s="405">
        <v>467659</v>
      </c>
      <c r="J51" s="351">
        <f>I51/'- 3 -'!E51</f>
        <v>0.03877960489927945</v>
      </c>
      <c r="K51" s="405">
        <f>I51/'- 7 -'!H51</f>
        <v>248.21347062257843</v>
      </c>
    </row>
    <row r="52" spans="1:11" ht="12.75">
      <c r="A52" s="13">
        <v>46</v>
      </c>
      <c r="B52" s="14" t="s">
        <v>157</v>
      </c>
      <c r="C52" s="406">
        <v>306703.56</v>
      </c>
      <c r="D52" s="352">
        <f>C52/'- 3 -'!E52</f>
        <v>0.028037188592586363</v>
      </c>
      <c r="E52" s="406">
        <f>IF(AND(C52&gt;0,'- 7 -'!F52=0),"N/A ",IF(C52&gt;0,C52/'- 7 -'!F52,0))</f>
        <v>23592.581538461538</v>
      </c>
      <c r="F52" s="406">
        <v>236273</v>
      </c>
      <c r="G52" s="352">
        <f>F52/'- 3 -'!E52</f>
        <v>0.021598805896925873</v>
      </c>
      <c r="H52" s="406">
        <f>F52/'- 7 -'!H52</f>
        <v>164.37526088771392</v>
      </c>
      <c r="I52" s="406">
        <v>290700</v>
      </c>
      <c r="J52" s="352">
        <f>I52/'- 3 -'!E52</f>
        <v>0.026574229278150067</v>
      </c>
      <c r="K52" s="406">
        <f>I52/'- 7 -'!H52</f>
        <v>202.24015583692778</v>
      </c>
    </row>
    <row r="53" spans="1:11" ht="12.75">
      <c r="A53" s="11">
        <v>47</v>
      </c>
      <c r="B53" s="12" t="s">
        <v>158</v>
      </c>
      <c r="C53" s="405">
        <v>139309</v>
      </c>
      <c r="D53" s="351">
        <f>C53/'- 3 -'!E53</f>
        <v>0.015127096319390665</v>
      </c>
      <c r="E53" s="405">
        <f>IF(AND(C53&gt;0,'- 7 -'!F53=0),"N/A ",IF(C53&gt;0,C53/'- 7 -'!F53,0))</f>
        <v>12664.454545454546</v>
      </c>
      <c r="F53" s="405">
        <v>387922</v>
      </c>
      <c r="G53" s="351">
        <f>F53/'- 3 -'!E53</f>
        <v>0.0421231468060977</v>
      </c>
      <c r="H53" s="405">
        <f>F53/'- 7 -'!H53</f>
        <v>268.1797442101625</v>
      </c>
      <c r="I53" s="405">
        <v>379119</v>
      </c>
      <c r="J53" s="351">
        <f>I53/'- 3 -'!E53</f>
        <v>0.04116725860864028</v>
      </c>
      <c r="K53" s="405">
        <f>I53/'- 7 -'!H53</f>
        <v>262.0940200483927</v>
      </c>
    </row>
    <row r="54" spans="1:11" ht="12.75">
      <c r="A54" s="13">
        <v>48</v>
      </c>
      <c r="B54" s="14" t="s">
        <v>159</v>
      </c>
      <c r="C54" s="406">
        <v>0</v>
      </c>
      <c r="D54" s="352">
        <f>C54/'- 3 -'!E54</f>
        <v>0</v>
      </c>
      <c r="E54" s="406">
        <f>IF(AND(C54&gt;0,'- 7 -'!F54=0),"N/A ",IF(C54&gt;0,C54/'- 7 -'!F54,0))</f>
        <v>0</v>
      </c>
      <c r="F54" s="406">
        <v>3490408</v>
      </c>
      <c r="G54" s="352">
        <f>F54/'- 3 -'!E54</f>
        <v>0.058766717660898735</v>
      </c>
      <c r="H54" s="406">
        <f>F54/'- 7 -'!H54</f>
        <v>667.6756508598428</v>
      </c>
      <c r="I54" s="406">
        <v>3470828</v>
      </c>
      <c r="J54" s="352">
        <f>I54/'- 3 -'!E54</f>
        <v>0.058437056391557045</v>
      </c>
      <c r="K54" s="406">
        <f>I54/'- 7 -'!H54</f>
        <v>663.930217877843</v>
      </c>
    </row>
    <row r="55" spans="1:11" ht="12.75">
      <c r="A55" s="11">
        <v>49</v>
      </c>
      <c r="B55" s="12" t="s">
        <v>160</v>
      </c>
      <c r="C55" s="405">
        <v>457439</v>
      </c>
      <c r="D55" s="351">
        <f>C55/'- 3 -'!E55</f>
        <v>0.01262825147336134</v>
      </c>
      <c r="E55" s="405">
        <f>IF(AND(C55&gt;0,'- 7 -'!F55=0),"N/A ",IF(C55&gt;0,C55/'- 7 -'!F55,0))</f>
        <v>10031.557017543859</v>
      </c>
      <c r="F55" s="405">
        <v>1386112</v>
      </c>
      <c r="G55" s="351">
        <f>F55/'- 3 -'!E55</f>
        <v>0.03826558493316887</v>
      </c>
      <c r="H55" s="405">
        <f>F55/'- 7 -'!H55</f>
        <v>325.31731130304166</v>
      </c>
      <c r="I55" s="405">
        <v>1346514</v>
      </c>
      <c r="J55" s="351">
        <f>I55/'- 3 -'!E55</f>
        <v>0.03717242605987175</v>
      </c>
      <c r="K55" s="405">
        <f>I55/'- 7 -'!H55</f>
        <v>316.02375140818623</v>
      </c>
    </row>
    <row r="56" spans="1:11" ht="12.75">
      <c r="A56" s="13">
        <v>50</v>
      </c>
      <c r="B56" s="14" t="s">
        <v>343</v>
      </c>
      <c r="C56" s="406">
        <v>0</v>
      </c>
      <c r="D56" s="352">
        <f>C56/'- 3 -'!E56</f>
        <v>0</v>
      </c>
      <c r="E56" s="406">
        <f>IF(AND(C56&gt;0,'- 7 -'!F56=0),"N/A ",IF(C56&gt;0,C56/'- 7 -'!F56,0))</f>
        <v>0</v>
      </c>
      <c r="F56" s="406">
        <v>449239</v>
      </c>
      <c r="G56" s="352">
        <f>F56/'- 3 -'!E56</f>
        <v>0.031166337062007717</v>
      </c>
      <c r="H56" s="406">
        <f>F56/'- 7 -'!H56</f>
        <v>254.91630255915567</v>
      </c>
      <c r="I56" s="406">
        <v>1095416</v>
      </c>
      <c r="J56" s="352">
        <f>I56/'- 3 -'!E56</f>
        <v>0.07599541508888642</v>
      </c>
      <c r="K56" s="406">
        <f>I56/'- 7 -'!H56</f>
        <v>621.5831583725814</v>
      </c>
    </row>
    <row r="57" spans="1:11" ht="12.75">
      <c r="A57" s="11">
        <v>2264</v>
      </c>
      <c r="B57" s="12" t="s">
        <v>161</v>
      </c>
      <c r="C57" s="405">
        <v>0</v>
      </c>
      <c r="D57" s="351">
        <f>C57/'- 3 -'!E57</f>
        <v>0</v>
      </c>
      <c r="E57" s="405">
        <f>IF(AND(C57&gt;0,'- 7 -'!F57=0),"N/A ",IF(C57&gt;0,C57/'- 7 -'!F57,0))</f>
        <v>0</v>
      </c>
      <c r="F57" s="405">
        <v>92562</v>
      </c>
      <c r="G57" s="351">
        <f>F57/'- 3 -'!E57</f>
        <v>0.04396742340823969</v>
      </c>
      <c r="H57" s="405">
        <f>F57/'- 7 -'!H57</f>
        <v>471.0534351145038</v>
      </c>
      <c r="I57" s="405">
        <v>102950</v>
      </c>
      <c r="J57" s="351">
        <f>I57/'- 3 -'!E57</f>
        <v>0.04890177653765342</v>
      </c>
      <c r="K57" s="405">
        <f>I57/'- 7 -'!H57</f>
        <v>523.9185750636133</v>
      </c>
    </row>
    <row r="58" spans="1:11" ht="12.75">
      <c r="A58" s="13">
        <v>2309</v>
      </c>
      <c r="B58" s="14" t="s">
        <v>162</v>
      </c>
      <c r="C58" s="406">
        <v>0</v>
      </c>
      <c r="D58" s="352">
        <f>C58/'- 3 -'!E58</f>
        <v>0</v>
      </c>
      <c r="E58" s="406">
        <f>IF(AND(C58&gt;0,'- 7 -'!F58=0),"N/A ",IF(C58&gt;0,C58/'- 7 -'!F58,0))</f>
        <v>0</v>
      </c>
      <c r="F58" s="406">
        <v>121126</v>
      </c>
      <c r="G58" s="352">
        <f>F58/'- 3 -'!E58</f>
        <v>0.0534731548216605</v>
      </c>
      <c r="H58" s="406">
        <f>F58/'- 7 -'!H58</f>
        <v>464.61833525124666</v>
      </c>
      <c r="I58" s="406">
        <v>12934</v>
      </c>
      <c r="J58" s="352">
        <f>I58/'- 3 -'!E58</f>
        <v>0.005709936631799588</v>
      </c>
      <c r="K58" s="406">
        <f>I58/'- 7 -'!H58</f>
        <v>49.61258151131569</v>
      </c>
    </row>
    <row r="59" spans="1:11" ht="12.75">
      <c r="A59" s="11">
        <v>2312</v>
      </c>
      <c r="B59" s="12" t="s">
        <v>163</v>
      </c>
      <c r="C59" s="405">
        <v>0</v>
      </c>
      <c r="D59" s="351">
        <f>C59/'- 3 -'!E59</f>
        <v>0</v>
      </c>
      <c r="E59" s="405">
        <f>IF(AND(C59&gt;0,'- 7 -'!F59=0),"N/A ",IF(C59&gt;0,C59/'- 7 -'!F59,0))</f>
        <v>0</v>
      </c>
      <c r="F59" s="405">
        <v>21728</v>
      </c>
      <c r="G59" s="351">
        <f>F59/'- 3 -'!E59</f>
        <v>0.010786375846222659</v>
      </c>
      <c r="H59" s="405">
        <f>F59/'- 7 -'!H59</f>
        <v>124.8735632183908</v>
      </c>
      <c r="I59" s="405">
        <v>169951</v>
      </c>
      <c r="J59" s="351">
        <f>I59/'- 3 -'!E59</f>
        <v>0.08436834321803144</v>
      </c>
      <c r="K59" s="405">
        <f>I59/'- 7 -'!H59</f>
        <v>976.7298850574713</v>
      </c>
    </row>
    <row r="60" spans="1:11" ht="12.75">
      <c r="A60" s="13">
        <v>2355</v>
      </c>
      <c r="B60" s="14" t="s">
        <v>164</v>
      </c>
      <c r="C60" s="406">
        <v>1042017</v>
      </c>
      <c r="D60" s="352">
        <f>C60/'- 3 -'!E60</f>
        <v>0.04188995411763256</v>
      </c>
      <c r="E60" s="406">
        <f>IF(AND(C60&gt;0,'- 7 -'!F60=0),"N/A ",IF(C60&gt;0,C60/'- 7 -'!F60,0))</f>
        <v>14676.295774647888</v>
      </c>
      <c r="F60" s="406">
        <v>1163153</v>
      </c>
      <c r="G60" s="352">
        <f>F60/'- 3 -'!E60</f>
        <v>0.0467597225398306</v>
      </c>
      <c r="H60" s="406">
        <f>F60/'- 7 -'!H60</f>
        <v>350.2101586728088</v>
      </c>
      <c r="I60" s="406">
        <v>1063335</v>
      </c>
      <c r="J60" s="352">
        <f>I60/'- 3 -'!E60</f>
        <v>0.04274695553112168</v>
      </c>
      <c r="K60" s="406">
        <f>I60/'- 7 -'!H60</f>
        <v>320.15626411344954</v>
      </c>
    </row>
    <row r="61" spans="1:11" ht="12.75">
      <c r="A61" s="11">
        <v>2439</v>
      </c>
      <c r="B61" s="12" t="s">
        <v>165</v>
      </c>
      <c r="C61" s="405">
        <v>52298.09</v>
      </c>
      <c r="D61" s="351">
        <f>C61/'- 3 -'!E61</f>
        <v>0.037431115375249006</v>
      </c>
      <c r="E61" s="405">
        <f>IF(AND(C61&gt;0,'- 7 -'!F61=0),"N/A ",IF(C61&gt;0,C61/'- 7 -'!F61,0))</f>
        <v>8716.348333333333</v>
      </c>
      <c r="F61" s="405">
        <v>127133.49</v>
      </c>
      <c r="G61" s="351">
        <f>F61/'- 3 -'!E61</f>
        <v>0.09099277492252711</v>
      </c>
      <c r="H61" s="405">
        <f>F61/'- 7 -'!H61</f>
        <v>812.3545686900959</v>
      </c>
      <c r="I61" s="405">
        <v>0</v>
      </c>
      <c r="J61" s="351">
        <f>I61/'- 3 -'!E61</f>
        <v>0</v>
      </c>
      <c r="K61" s="405">
        <f>I61/'- 7 -'!H61</f>
        <v>0</v>
      </c>
    </row>
    <row r="62" spans="1:11" ht="12.75">
      <c r="A62" s="13">
        <v>2460</v>
      </c>
      <c r="B62" s="14" t="s">
        <v>166</v>
      </c>
      <c r="C62" s="406">
        <v>0</v>
      </c>
      <c r="D62" s="352">
        <f>C62/'- 3 -'!E62</f>
        <v>0</v>
      </c>
      <c r="E62" s="406">
        <f>IF(AND(C62&gt;0,'- 7 -'!F62=0),"N/A ",IF(C62&gt;0,C62/'- 7 -'!F62,0))</f>
        <v>0</v>
      </c>
      <c r="F62" s="406">
        <v>63896</v>
      </c>
      <c r="G62" s="352">
        <f>F62/'- 3 -'!E62</f>
        <v>0.019335963269658855</v>
      </c>
      <c r="H62" s="406">
        <f>F62/'- 7 -'!H62</f>
        <v>234.7391623806025</v>
      </c>
      <c r="I62" s="406">
        <v>103821</v>
      </c>
      <c r="J62" s="352">
        <f>I62/'- 3 -'!E62</f>
        <v>0.03141791415142187</v>
      </c>
      <c r="K62" s="406">
        <f>I62/'- 7 -'!H62</f>
        <v>381.4144011756062</v>
      </c>
    </row>
    <row r="63" spans="1:11" ht="12.75">
      <c r="A63" s="11">
        <v>3000</v>
      </c>
      <c r="B63" s="12" t="s">
        <v>366</v>
      </c>
      <c r="C63" s="405">
        <v>0</v>
      </c>
      <c r="D63" s="351">
        <f>C63/'- 3 -'!E63</f>
        <v>0</v>
      </c>
      <c r="E63" s="405">
        <f>IF(AND(C63&gt;0,'- 7 -'!F63=0),"N/A ",IF(C63&gt;0,C63/'- 7 -'!F63,0))</f>
        <v>0</v>
      </c>
      <c r="F63" s="405">
        <v>163398</v>
      </c>
      <c r="G63" s="351">
        <f>F63/'- 3 -'!E63</f>
        <v>0.02833381597360102</v>
      </c>
      <c r="H63" s="405">
        <f>F63/'- 7 -'!H63</f>
        <v>243.3690795352994</v>
      </c>
      <c r="I63" s="405">
        <v>0</v>
      </c>
      <c r="J63" s="351">
        <f>I63/'- 3 -'!E63</f>
        <v>0</v>
      </c>
      <c r="K63" s="405">
        <f>I63/'- 7 -'!H63</f>
        <v>0</v>
      </c>
    </row>
    <row r="64" spans="1:11" ht="4.5" customHeight="1">
      <c r="A64" s="15"/>
      <c r="B64" s="15"/>
      <c r="C64" s="412"/>
      <c r="D64" s="194"/>
      <c r="E64" s="412"/>
      <c r="F64" s="412"/>
      <c r="G64" s="194"/>
      <c r="H64" s="412"/>
      <c r="I64" s="412"/>
      <c r="J64" s="194"/>
      <c r="K64" s="412"/>
    </row>
    <row r="65" spans="1:11" ht="12.75">
      <c r="A65" s="17"/>
      <c r="B65" s="18" t="s">
        <v>167</v>
      </c>
      <c r="C65" s="407">
        <f>SUM(C11:C63)</f>
        <v>32783919.729999997</v>
      </c>
      <c r="D65" s="100">
        <f>C65/'- 3 -'!E65</f>
        <v>0.025265787029647893</v>
      </c>
      <c r="E65" s="407">
        <f>C65/'- 7 -'!F65</f>
        <v>14134.046014227202</v>
      </c>
      <c r="F65" s="407">
        <f>SUM(F11:F63)</f>
        <v>58347335.28</v>
      </c>
      <c r="G65" s="100">
        <f>F65/'- 3 -'!E65</f>
        <v>0.04496690325845735</v>
      </c>
      <c r="H65" s="407">
        <f>F65/'- 7 -'!H65</f>
        <v>321.94921136497857</v>
      </c>
      <c r="I65" s="407">
        <f>SUM(I11:I63)</f>
        <v>56802150.2</v>
      </c>
      <c r="J65" s="100">
        <f>I65/'- 3 -'!E65</f>
        <v>0.04377606587616153</v>
      </c>
      <c r="K65" s="407">
        <f>I65/'- 7 -'!H65</f>
        <v>313.4231815894688</v>
      </c>
    </row>
    <row r="66" spans="1:11" ht="4.5" customHeight="1">
      <c r="A66" s="15"/>
      <c r="B66" s="15"/>
      <c r="C66" s="412"/>
      <c r="D66" s="194"/>
      <c r="E66" s="412"/>
      <c r="F66" s="412"/>
      <c r="G66" s="194"/>
      <c r="H66" s="412"/>
      <c r="I66" s="412"/>
      <c r="J66" s="194"/>
      <c r="K66" s="412"/>
    </row>
    <row r="67" spans="1:11" ht="12.75">
      <c r="A67" s="13">
        <v>2155</v>
      </c>
      <c r="B67" s="14" t="s">
        <v>168</v>
      </c>
      <c r="C67" s="406">
        <v>0</v>
      </c>
      <c r="D67" s="352">
        <f>C67/'- 3 -'!E67</f>
        <v>0</v>
      </c>
      <c r="E67" s="406">
        <f>IF(AND(C67&gt;0,'- 7 -'!F67=0),"N/A ",IF(C67&gt;0,C67/'- 7 -'!F67,0))</f>
        <v>0</v>
      </c>
      <c r="F67" s="406">
        <v>13375</v>
      </c>
      <c r="G67" s="352">
        <f>F67/'- 3 -'!E67</f>
        <v>0.01117752655786578</v>
      </c>
      <c r="H67" s="406">
        <f>F67/'- 7 -'!H67</f>
        <v>91.60958904109589</v>
      </c>
      <c r="I67" s="406">
        <v>59765.89</v>
      </c>
      <c r="J67" s="352">
        <f>I67/'- 3 -'!E67</f>
        <v>0.04994652880220447</v>
      </c>
      <c r="K67" s="406">
        <f>I67/'- 7 -'!H67</f>
        <v>409.3554109589041</v>
      </c>
    </row>
    <row r="68" spans="1:11" ht="12.75">
      <c r="A68" s="11">
        <v>2408</v>
      </c>
      <c r="B68" s="12" t="s">
        <v>170</v>
      </c>
      <c r="C68" s="405">
        <v>0</v>
      </c>
      <c r="D68" s="351">
        <f>C68/'- 3 -'!E68</f>
        <v>0</v>
      </c>
      <c r="E68" s="405">
        <f>IF(AND(C68&gt;0,'- 7 -'!F68=0),"N/A ",IF(C68&gt;0,C68/'- 7 -'!F68,0))</f>
        <v>0</v>
      </c>
      <c r="F68" s="405">
        <v>116622</v>
      </c>
      <c r="G68" s="351">
        <f>F68/'- 3 -'!E68</f>
        <v>0.05439651778701111</v>
      </c>
      <c r="H68" s="405">
        <f>F68/'- 7 -'!H68</f>
        <v>452.0232558139535</v>
      </c>
      <c r="I68" s="405">
        <v>7288</v>
      </c>
      <c r="J68" s="351">
        <f>I68/'- 3 -'!E68</f>
        <v>0.0033993742315492526</v>
      </c>
      <c r="K68" s="405">
        <f>I68/'- 7 -'!H68</f>
        <v>28.248062015503876</v>
      </c>
    </row>
    <row r="69" ht="6.75" customHeight="1"/>
    <row r="70" spans="1:3" ht="12" customHeight="1">
      <c r="A70" s="4"/>
      <c r="B70" s="4"/>
      <c r="C70" s="170"/>
    </row>
    <row r="71" spans="1:3" ht="12" customHeight="1">
      <c r="A71" s="4"/>
      <c r="B71" s="4"/>
      <c r="C71" s="170"/>
    </row>
    <row r="72" spans="1:3" ht="12" customHeight="1">
      <c r="A72" s="4"/>
      <c r="B72" s="4"/>
      <c r="C72" s="170"/>
    </row>
    <row r="73" spans="1:3" ht="12" customHeight="1">
      <c r="A73" s="4"/>
      <c r="B73" s="4"/>
      <c r="C73" s="170"/>
    </row>
    <row r="74" spans="1:3" ht="12" customHeight="1">
      <c r="A74" s="4"/>
      <c r="B74" s="4"/>
      <c r="C74" s="170"/>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171">
    <pageSetUpPr fitToPage="1"/>
  </sheetPr>
  <dimension ref="A1:G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20.83203125" style="79" customWidth="1"/>
    <col min="4" max="4" width="12.83203125" style="79" customWidth="1"/>
    <col min="5" max="5" width="20.83203125" style="79" customWidth="1"/>
    <col min="6" max="6" width="12.83203125" style="79" customWidth="1"/>
    <col min="7" max="16384" width="15.83203125" style="79" customWidth="1"/>
  </cols>
  <sheetData>
    <row r="1" spans="1:6" ht="6.75" customHeight="1">
      <c r="A1" s="15"/>
      <c r="B1" s="77"/>
      <c r="C1" s="139"/>
      <c r="D1" s="139"/>
      <c r="E1" s="139"/>
      <c r="F1" s="139"/>
    </row>
    <row r="2" spans="1:7" ht="12.75">
      <c r="A2" s="6"/>
      <c r="B2" s="80"/>
      <c r="C2" s="196" t="s">
        <v>0</v>
      </c>
      <c r="D2" s="196"/>
      <c r="E2" s="196"/>
      <c r="F2" s="196"/>
      <c r="G2" s="196"/>
    </row>
    <row r="3" spans="1:7" ht="12.75">
      <c r="A3" s="7"/>
      <c r="B3" s="83"/>
      <c r="C3" s="199" t="str">
        <f>YEAR</f>
        <v>OPERATING FUND ACTUAL 2001/2002</v>
      </c>
      <c r="D3" s="199"/>
      <c r="E3" s="199"/>
      <c r="F3" s="199"/>
      <c r="G3" s="199"/>
    </row>
    <row r="4" spans="1:6" ht="12.75">
      <c r="A4" s="8"/>
      <c r="C4" s="139"/>
      <c r="D4" s="139"/>
      <c r="E4" s="139"/>
      <c r="F4" s="139"/>
    </row>
    <row r="5" spans="1:6" ht="19.5">
      <c r="A5" s="8"/>
      <c r="C5" s="330" t="s">
        <v>468</v>
      </c>
      <c r="D5" s="228"/>
      <c r="E5" s="171"/>
      <c r="F5" s="391"/>
    </row>
    <row r="6" spans="1:6" ht="12.75">
      <c r="A6" s="8"/>
      <c r="C6" s="64" t="s">
        <v>38</v>
      </c>
      <c r="D6" s="62"/>
      <c r="E6" s="392"/>
      <c r="F6" s="393"/>
    </row>
    <row r="7" spans="3:6" ht="12.75">
      <c r="C7" s="65" t="s">
        <v>454</v>
      </c>
      <c r="D7" s="66"/>
      <c r="E7" s="65" t="s">
        <v>265</v>
      </c>
      <c r="F7" s="67"/>
    </row>
    <row r="8" spans="1:6" ht="12.75">
      <c r="A8" s="91"/>
      <c r="B8" s="43"/>
      <c r="C8" s="70"/>
      <c r="D8" s="71"/>
      <c r="E8" s="70"/>
      <c r="F8" s="71"/>
    </row>
    <row r="9" spans="1:6" ht="12.75">
      <c r="A9" s="49" t="s">
        <v>101</v>
      </c>
      <c r="B9" s="50" t="s">
        <v>102</v>
      </c>
      <c r="C9" s="73" t="s">
        <v>103</v>
      </c>
      <c r="D9" s="73" t="s">
        <v>104</v>
      </c>
      <c r="E9" s="73" t="s">
        <v>103</v>
      </c>
      <c r="F9" s="73" t="s">
        <v>104</v>
      </c>
    </row>
    <row r="10" spans="1:2" ht="4.5" customHeight="1">
      <c r="A10" s="74"/>
      <c r="B10" s="74"/>
    </row>
    <row r="11" spans="1:6" ht="12.75">
      <c r="A11" s="11">
        <v>1</v>
      </c>
      <c r="B11" s="12" t="s">
        <v>116</v>
      </c>
      <c r="C11" s="405">
        <v>134988</v>
      </c>
      <c r="D11" s="351">
        <f>C11/'- 3 -'!E11</f>
        <v>0.0005600381302443068</v>
      </c>
      <c r="E11" s="405">
        <v>226435</v>
      </c>
      <c r="F11" s="351">
        <f>E11/'- 3 -'!E11</f>
        <v>0.0009394333868334192</v>
      </c>
    </row>
    <row r="12" spans="1:6" ht="12.75">
      <c r="A12" s="13">
        <v>2</v>
      </c>
      <c r="B12" s="14" t="s">
        <v>117</v>
      </c>
      <c r="C12" s="406">
        <v>0</v>
      </c>
      <c r="D12" s="352">
        <f>C12/'- 3 -'!E12</f>
        <v>0</v>
      </c>
      <c r="E12" s="406">
        <v>0</v>
      </c>
      <c r="F12" s="352">
        <f>E12/'- 3 -'!E12</f>
        <v>0</v>
      </c>
    </row>
    <row r="13" spans="1:6" ht="12.75">
      <c r="A13" s="11">
        <v>3</v>
      </c>
      <c r="B13" s="12" t="s">
        <v>118</v>
      </c>
      <c r="C13" s="405">
        <v>0</v>
      </c>
      <c r="D13" s="351">
        <f>C13/'- 3 -'!E13</f>
        <v>0</v>
      </c>
      <c r="E13" s="405">
        <v>0</v>
      </c>
      <c r="F13" s="351">
        <f>E13/'- 3 -'!E13</f>
        <v>0</v>
      </c>
    </row>
    <row r="14" spans="1:6" ht="12.75">
      <c r="A14" s="13">
        <v>4</v>
      </c>
      <c r="B14" s="14" t="s">
        <v>119</v>
      </c>
      <c r="C14" s="406">
        <v>0</v>
      </c>
      <c r="D14" s="352">
        <f>C14/'- 3 -'!E14</f>
        <v>0</v>
      </c>
      <c r="E14" s="406">
        <v>0</v>
      </c>
      <c r="F14" s="352">
        <f>E14/'- 3 -'!E14</f>
        <v>0</v>
      </c>
    </row>
    <row r="15" spans="1:6" ht="12.75">
      <c r="A15" s="11">
        <v>5</v>
      </c>
      <c r="B15" s="12" t="s">
        <v>120</v>
      </c>
      <c r="C15" s="405">
        <v>0</v>
      </c>
      <c r="D15" s="351">
        <f>C15/'- 3 -'!E15</f>
        <v>0</v>
      </c>
      <c r="E15" s="405">
        <v>0</v>
      </c>
      <c r="F15" s="351">
        <f>E15/'- 3 -'!E15</f>
        <v>0</v>
      </c>
    </row>
    <row r="16" spans="1:6" ht="12.75">
      <c r="A16" s="13">
        <v>6</v>
      </c>
      <c r="B16" s="14" t="s">
        <v>121</v>
      </c>
      <c r="C16" s="406">
        <v>0</v>
      </c>
      <c r="D16" s="352">
        <f>C16/'- 3 -'!E16</f>
        <v>0</v>
      </c>
      <c r="E16" s="406">
        <v>0</v>
      </c>
      <c r="F16" s="352">
        <f>E16/'- 3 -'!E16</f>
        <v>0</v>
      </c>
    </row>
    <row r="17" spans="1:6" ht="12.75">
      <c r="A17" s="11">
        <v>9</v>
      </c>
      <c r="B17" s="12" t="s">
        <v>122</v>
      </c>
      <c r="C17" s="405">
        <v>94698</v>
      </c>
      <c r="D17" s="351">
        <f>C17/'- 3 -'!E17</f>
        <v>0.0011616296140700335</v>
      </c>
      <c r="E17" s="405">
        <v>320609</v>
      </c>
      <c r="F17" s="351">
        <f>E17/'- 3 -'!E17</f>
        <v>0.003932806489444121</v>
      </c>
    </row>
    <row r="18" spans="1:6" ht="12.75">
      <c r="A18" s="13">
        <v>10</v>
      </c>
      <c r="B18" s="14" t="s">
        <v>123</v>
      </c>
      <c r="C18" s="406">
        <v>0</v>
      </c>
      <c r="D18" s="352">
        <f>C18/'- 3 -'!E18</f>
        <v>0</v>
      </c>
      <c r="E18" s="406">
        <v>0</v>
      </c>
      <c r="F18" s="352">
        <f>E18/'- 3 -'!E18</f>
        <v>0</v>
      </c>
    </row>
    <row r="19" spans="1:6" ht="12.75">
      <c r="A19" s="11">
        <v>11</v>
      </c>
      <c r="B19" s="12" t="s">
        <v>124</v>
      </c>
      <c r="C19" s="405">
        <v>51793</v>
      </c>
      <c r="D19" s="351">
        <f>C19/'- 3 -'!E19</f>
        <v>0.0016021068015315612</v>
      </c>
      <c r="E19" s="405">
        <v>226974</v>
      </c>
      <c r="F19" s="351">
        <f>E19/'- 3 -'!E19</f>
        <v>0.007020960152353109</v>
      </c>
    </row>
    <row r="20" spans="1:6" ht="12.75">
      <c r="A20" s="13">
        <v>12</v>
      </c>
      <c r="B20" s="14" t="s">
        <v>125</v>
      </c>
      <c r="C20" s="406">
        <v>124050</v>
      </c>
      <c r="D20" s="352">
        <f>C20/'- 3 -'!E20</f>
        <v>0.0023948626345017985</v>
      </c>
      <c r="E20" s="406">
        <v>548178</v>
      </c>
      <c r="F20" s="352">
        <f>E20/'- 3 -'!E20</f>
        <v>0.010582918252768456</v>
      </c>
    </row>
    <row r="21" spans="1:6" ht="12.75">
      <c r="A21" s="11">
        <v>13</v>
      </c>
      <c r="B21" s="12" t="s">
        <v>126</v>
      </c>
      <c r="C21" s="405">
        <v>269240</v>
      </c>
      <c r="D21" s="351">
        <f>C21/'- 3 -'!E21</f>
        <v>0.013619748696312738</v>
      </c>
      <c r="E21" s="405">
        <v>652907</v>
      </c>
      <c r="F21" s="351">
        <f>E21/'- 3 -'!E21</f>
        <v>0.03302789058855839</v>
      </c>
    </row>
    <row r="22" spans="1:6" ht="12.75">
      <c r="A22" s="13">
        <v>14</v>
      </c>
      <c r="B22" s="14" t="s">
        <v>127</v>
      </c>
      <c r="C22" s="406">
        <v>78607</v>
      </c>
      <c r="D22" s="352">
        <f>C22/'- 3 -'!E22</f>
        <v>0.003418396511148</v>
      </c>
      <c r="E22" s="406">
        <v>237625</v>
      </c>
      <c r="F22" s="352">
        <f>E22/'- 3 -'!E22</f>
        <v>0.010333640400492877</v>
      </c>
    </row>
    <row r="23" spans="1:6" ht="12.75">
      <c r="A23" s="11">
        <v>15</v>
      </c>
      <c r="B23" s="12" t="s">
        <v>128</v>
      </c>
      <c r="C23" s="405">
        <v>0</v>
      </c>
      <c r="D23" s="351">
        <f>C23/'- 3 -'!E23</f>
        <v>0</v>
      </c>
      <c r="E23" s="405">
        <v>0</v>
      </c>
      <c r="F23" s="351">
        <f>E23/'- 3 -'!E23</f>
        <v>0</v>
      </c>
    </row>
    <row r="24" spans="1:6" ht="12.75">
      <c r="A24" s="13">
        <v>16</v>
      </c>
      <c r="B24" s="14" t="s">
        <v>129</v>
      </c>
      <c r="C24" s="406">
        <v>11107</v>
      </c>
      <c r="D24" s="352">
        <f>C24/'- 3 -'!E24</f>
        <v>0.0017972737943953085</v>
      </c>
      <c r="E24" s="406">
        <v>46618</v>
      </c>
      <c r="F24" s="352">
        <f>E24/'- 3 -'!E24</f>
        <v>0.0075434689607563245</v>
      </c>
    </row>
    <row r="25" spans="1:6" ht="12.75">
      <c r="A25" s="11">
        <v>17</v>
      </c>
      <c r="B25" s="12" t="s">
        <v>130</v>
      </c>
      <c r="C25" s="405">
        <v>0</v>
      </c>
      <c r="D25" s="351">
        <f>C25/'- 3 -'!E25</f>
        <v>0</v>
      </c>
      <c r="E25" s="405">
        <v>0</v>
      </c>
      <c r="F25" s="351">
        <f>E25/'- 3 -'!E25</f>
        <v>0</v>
      </c>
    </row>
    <row r="26" spans="1:6" ht="12.75">
      <c r="A26" s="13">
        <v>18</v>
      </c>
      <c r="B26" s="14" t="s">
        <v>131</v>
      </c>
      <c r="C26" s="406">
        <v>88494</v>
      </c>
      <c r="D26" s="352">
        <f>C26/'- 3 -'!E26</f>
        <v>0.009214406977186364</v>
      </c>
      <c r="E26" s="406">
        <v>241356</v>
      </c>
      <c r="F26" s="352">
        <f>E26/'- 3 -'!E26</f>
        <v>0.02513110957110982</v>
      </c>
    </row>
    <row r="27" spans="1:6" ht="12.75">
      <c r="A27" s="11">
        <v>19</v>
      </c>
      <c r="B27" s="12" t="s">
        <v>132</v>
      </c>
      <c r="C27" s="405">
        <v>456185</v>
      </c>
      <c r="D27" s="351">
        <f>C27/'- 3 -'!E27</f>
        <v>0.031034175324906904</v>
      </c>
      <c r="E27" s="405">
        <v>1478760</v>
      </c>
      <c r="F27" s="351">
        <f>E27/'- 3 -'!E27</f>
        <v>0.10059975032817679</v>
      </c>
    </row>
    <row r="28" spans="1:6" ht="12.75">
      <c r="A28" s="13">
        <v>20</v>
      </c>
      <c r="B28" s="14" t="s">
        <v>133</v>
      </c>
      <c r="C28" s="406">
        <v>0</v>
      </c>
      <c r="D28" s="352">
        <f>C28/'- 3 -'!E28</f>
        <v>0</v>
      </c>
      <c r="E28" s="406">
        <v>0</v>
      </c>
      <c r="F28" s="352">
        <f>E28/'- 3 -'!E28</f>
        <v>0</v>
      </c>
    </row>
    <row r="29" spans="1:6" ht="12.75">
      <c r="A29" s="11">
        <v>21</v>
      </c>
      <c r="B29" s="12" t="s">
        <v>134</v>
      </c>
      <c r="C29" s="405">
        <v>0</v>
      </c>
      <c r="D29" s="351">
        <f>C29/'- 3 -'!E29</f>
        <v>0</v>
      </c>
      <c r="E29" s="405">
        <v>249471</v>
      </c>
      <c r="F29" s="351">
        <f>E29/'- 3 -'!E29</f>
        <v>0.011184283909221297</v>
      </c>
    </row>
    <row r="30" spans="1:6" ht="12.75">
      <c r="A30" s="13">
        <v>22</v>
      </c>
      <c r="B30" s="14" t="s">
        <v>135</v>
      </c>
      <c r="C30" s="406">
        <v>0</v>
      </c>
      <c r="D30" s="352">
        <f>C30/'- 3 -'!E30</f>
        <v>0</v>
      </c>
      <c r="E30" s="406">
        <v>49597</v>
      </c>
      <c r="F30" s="352">
        <f>E30/'- 3 -'!E30</f>
        <v>0.004213241302422242</v>
      </c>
    </row>
    <row r="31" spans="1:6" ht="12.75">
      <c r="A31" s="11">
        <v>23</v>
      </c>
      <c r="B31" s="12" t="s">
        <v>136</v>
      </c>
      <c r="C31" s="405">
        <v>0</v>
      </c>
      <c r="D31" s="351">
        <f>C31/'- 3 -'!E31</f>
        <v>0</v>
      </c>
      <c r="E31" s="405">
        <v>0</v>
      </c>
      <c r="F31" s="351">
        <f>E31/'- 3 -'!E31</f>
        <v>0</v>
      </c>
    </row>
    <row r="32" spans="1:6" ht="12.75">
      <c r="A32" s="13">
        <v>24</v>
      </c>
      <c r="B32" s="14" t="s">
        <v>137</v>
      </c>
      <c r="C32" s="406">
        <v>4000</v>
      </c>
      <c r="D32" s="352">
        <f>C32/'- 3 -'!E32</f>
        <v>0.0001759698634011939</v>
      </c>
      <c r="E32" s="406">
        <v>240430</v>
      </c>
      <c r="F32" s="352">
        <f>E32/'- 3 -'!E32</f>
        <v>0.010577108564387263</v>
      </c>
    </row>
    <row r="33" spans="1:6" ht="12.75">
      <c r="A33" s="11">
        <v>25</v>
      </c>
      <c r="B33" s="12" t="s">
        <v>138</v>
      </c>
      <c r="C33" s="405">
        <v>102720</v>
      </c>
      <c r="D33" s="351">
        <f>C33/'- 3 -'!E33</f>
        <v>0.009775180367874906</v>
      </c>
      <c r="E33" s="405">
        <v>307598</v>
      </c>
      <c r="F33" s="351">
        <f>E33/'- 3 -'!E33</f>
        <v>0.02927205929514783</v>
      </c>
    </row>
    <row r="34" spans="1:6" ht="12.75">
      <c r="A34" s="13">
        <v>26</v>
      </c>
      <c r="B34" s="14" t="s">
        <v>139</v>
      </c>
      <c r="C34" s="406">
        <v>0</v>
      </c>
      <c r="D34" s="352">
        <f>C34/'- 3 -'!E34</f>
        <v>0</v>
      </c>
      <c r="E34" s="406">
        <v>129035</v>
      </c>
      <c r="F34" s="352">
        <f>E34/'- 3 -'!E34</f>
        <v>0.00795561159006864</v>
      </c>
    </row>
    <row r="35" spans="1:6" ht="12.75">
      <c r="A35" s="11">
        <v>28</v>
      </c>
      <c r="B35" s="12" t="s">
        <v>140</v>
      </c>
      <c r="C35" s="405">
        <v>0</v>
      </c>
      <c r="D35" s="351">
        <f>C35/'- 3 -'!E35</f>
        <v>0</v>
      </c>
      <c r="E35" s="405">
        <v>0</v>
      </c>
      <c r="F35" s="351">
        <f>E35/'- 3 -'!E35</f>
        <v>0</v>
      </c>
    </row>
    <row r="36" spans="1:6" ht="12.75">
      <c r="A36" s="13">
        <v>30</v>
      </c>
      <c r="B36" s="14" t="s">
        <v>141</v>
      </c>
      <c r="C36" s="406">
        <v>0</v>
      </c>
      <c r="D36" s="352">
        <f>C36/'- 3 -'!E36</f>
        <v>0</v>
      </c>
      <c r="E36" s="406">
        <v>0</v>
      </c>
      <c r="F36" s="352">
        <f>E36/'- 3 -'!E36</f>
        <v>0</v>
      </c>
    </row>
    <row r="37" spans="1:6" ht="12.75">
      <c r="A37" s="11">
        <v>31</v>
      </c>
      <c r="B37" s="12" t="s">
        <v>142</v>
      </c>
      <c r="C37" s="405">
        <v>0</v>
      </c>
      <c r="D37" s="351">
        <f>C37/'- 3 -'!E37</f>
        <v>0</v>
      </c>
      <c r="E37" s="405">
        <v>0</v>
      </c>
      <c r="F37" s="351">
        <f>E37/'- 3 -'!E37</f>
        <v>0</v>
      </c>
    </row>
    <row r="38" spans="1:6" ht="12.75">
      <c r="A38" s="13">
        <v>32</v>
      </c>
      <c r="B38" s="14" t="s">
        <v>143</v>
      </c>
      <c r="C38" s="406">
        <v>0</v>
      </c>
      <c r="D38" s="352">
        <f>C38/'- 3 -'!E38</f>
        <v>0</v>
      </c>
      <c r="E38" s="406">
        <v>0</v>
      </c>
      <c r="F38" s="352">
        <f>E38/'- 3 -'!E38</f>
        <v>0</v>
      </c>
    </row>
    <row r="39" spans="1:6" ht="12.75">
      <c r="A39" s="11">
        <v>33</v>
      </c>
      <c r="B39" s="12" t="s">
        <v>144</v>
      </c>
      <c r="C39" s="405">
        <v>4500</v>
      </c>
      <c r="D39" s="351">
        <f>C39/'- 3 -'!E39</f>
        <v>0.00034612655540620837</v>
      </c>
      <c r="E39" s="405">
        <v>60780</v>
      </c>
      <c r="F39" s="351">
        <f>E39/'- 3 -'!E39</f>
        <v>0.004675016008353188</v>
      </c>
    </row>
    <row r="40" spans="1:6" ht="12.75">
      <c r="A40" s="13">
        <v>34</v>
      </c>
      <c r="B40" s="14" t="s">
        <v>145</v>
      </c>
      <c r="C40" s="406">
        <v>0</v>
      </c>
      <c r="D40" s="352">
        <f>C40/'- 3 -'!E40</f>
        <v>0</v>
      </c>
      <c r="E40" s="406">
        <v>0</v>
      </c>
      <c r="F40" s="352">
        <f>E40/'- 3 -'!E40</f>
        <v>0</v>
      </c>
    </row>
    <row r="41" spans="1:6" ht="12.75">
      <c r="A41" s="11">
        <v>35</v>
      </c>
      <c r="B41" s="12" t="s">
        <v>146</v>
      </c>
      <c r="C41" s="405">
        <v>0</v>
      </c>
      <c r="D41" s="351">
        <f>C41/'- 3 -'!E41</f>
        <v>0</v>
      </c>
      <c r="E41" s="405">
        <v>0</v>
      </c>
      <c r="F41" s="351">
        <f>E41/'- 3 -'!E41</f>
        <v>0</v>
      </c>
    </row>
    <row r="42" spans="1:6" ht="12.75">
      <c r="A42" s="13">
        <v>36</v>
      </c>
      <c r="B42" s="14" t="s">
        <v>147</v>
      </c>
      <c r="C42" s="406">
        <v>0</v>
      </c>
      <c r="D42" s="352">
        <f>C42/'- 3 -'!E42</f>
        <v>0</v>
      </c>
      <c r="E42" s="406">
        <v>0</v>
      </c>
      <c r="F42" s="352">
        <f>E42/'- 3 -'!E42</f>
        <v>0</v>
      </c>
    </row>
    <row r="43" spans="1:6" ht="12.75">
      <c r="A43" s="11">
        <v>37</v>
      </c>
      <c r="B43" s="12" t="s">
        <v>148</v>
      </c>
      <c r="C43" s="405">
        <v>0</v>
      </c>
      <c r="D43" s="351">
        <f>C43/'- 3 -'!E43</f>
        <v>0</v>
      </c>
      <c r="E43" s="405">
        <v>0</v>
      </c>
      <c r="F43" s="351">
        <f>E43/'- 3 -'!E43</f>
        <v>0</v>
      </c>
    </row>
    <row r="44" spans="1:6" ht="12.75">
      <c r="A44" s="13">
        <v>38</v>
      </c>
      <c r="B44" s="14" t="s">
        <v>149</v>
      </c>
      <c r="C44" s="406">
        <v>0</v>
      </c>
      <c r="D44" s="352">
        <f>C44/'- 3 -'!E44</f>
        <v>0</v>
      </c>
      <c r="E44" s="406">
        <v>0</v>
      </c>
      <c r="F44" s="352">
        <f>E44/'- 3 -'!E44</f>
        <v>0</v>
      </c>
    </row>
    <row r="45" spans="1:6" ht="12.75">
      <c r="A45" s="11">
        <v>39</v>
      </c>
      <c r="B45" s="12" t="s">
        <v>150</v>
      </c>
      <c r="C45" s="405">
        <v>6916</v>
      </c>
      <c r="D45" s="351">
        <f>C45/'- 3 -'!E45</f>
        <v>0.0004634732981144558</v>
      </c>
      <c r="E45" s="405">
        <v>86703</v>
      </c>
      <c r="F45" s="351">
        <f>E45/'- 3 -'!E45</f>
        <v>0.005810370932102033</v>
      </c>
    </row>
    <row r="46" spans="1:6" ht="12.75">
      <c r="A46" s="13">
        <v>40</v>
      </c>
      <c r="B46" s="14" t="s">
        <v>151</v>
      </c>
      <c r="C46" s="406">
        <v>0</v>
      </c>
      <c r="D46" s="352">
        <f>C46/'- 3 -'!E46</f>
        <v>0</v>
      </c>
      <c r="E46" s="406">
        <v>0</v>
      </c>
      <c r="F46" s="352">
        <f>E46/'- 3 -'!E46</f>
        <v>0</v>
      </c>
    </row>
    <row r="47" spans="1:6" ht="12.75">
      <c r="A47" s="11">
        <v>41</v>
      </c>
      <c r="B47" s="12" t="s">
        <v>152</v>
      </c>
      <c r="C47" s="405">
        <v>6340</v>
      </c>
      <c r="D47" s="351">
        <f>C47/'- 3 -'!E47</f>
        <v>0.0005165609522776712</v>
      </c>
      <c r="E47" s="405">
        <v>97536</v>
      </c>
      <c r="F47" s="351">
        <f>E47/'- 3 -'!E47</f>
        <v>0.007946891015986583</v>
      </c>
    </row>
    <row r="48" spans="1:6" ht="12.75">
      <c r="A48" s="13">
        <v>42</v>
      </c>
      <c r="B48" s="14" t="s">
        <v>153</v>
      </c>
      <c r="C48" s="406">
        <v>0</v>
      </c>
      <c r="D48" s="352">
        <f>C48/'- 3 -'!E48</f>
        <v>0</v>
      </c>
      <c r="E48" s="406">
        <v>0</v>
      </c>
      <c r="F48" s="352">
        <f>E48/'- 3 -'!E48</f>
        <v>0</v>
      </c>
    </row>
    <row r="49" spans="1:6" ht="12.75">
      <c r="A49" s="11">
        <v>43</v>
      </c>
      <c r="B49" s="12" t="s">
        <v>154</v>
      </c>
      <c r="C49" s="405">
        <v>0</v>
      </c>
      <c r="D49" s="351">
        <f>C49/'- 3 -'!E49</f>
        <v>0</v>
      </c>
      <c r="E49" s="405">
        <v>21435</v>
      </c>
      <c r="F49" s="351">
        <f>E49/'- 3 -'!E49</f>
        <v>0.00337110459310052</v>
      </c>
    </row>
    <row r="50" spans="1:6" ht="12.75">
      <c r="A50" s="13">
        <v>44</v>
      </c>
      <c r="B50" s="14" t="s">
        <v>155</v>
      </c>
      <c r="C50" s="406">
        <v>35694</v>
      </c>
      <c r="D50" s="352">
        <f>C50/'- 3 -'!E50</f>
        <v>0.0038583711650585976</v>
      </c>
      <c r="E50" s="406">
        <v>317333</v>
      </c>
      <c r="F50" s="352">
        <f>E50/'- 3 -'!E50</f>
        <v>0.03430236165522329</v>
      </c>
    </row>
    <row r="51" spans="1:6" ht="12.75">
      <c r="A51" s="11">
        <v>45</v>
      </c>
      <c r="B51" s="12" t="s">
        <v>156</v>
      </c>
      <c r="C51" s="405">
        <v>0</v>
      </c>
      <c r="D51" s="351">
        <f>C51/'- 3 -'!E51</f>
        <v>0</v>
      </c>
      <c r="E51" s="405">
        <v>0</v>
      </c>
      <c r="F51" s="351">
        <f>E51/'- 3 -'!E51</f>
        <v>0</v>
      </c>
    </row>
    <row r="52" spans="1:6" ht="12.75">
      <c r="A52" s="13">
        <v>46</v>
      </c>
      <c r="B52" s="14" t="s">
        <v>157</v>
      </c>
      <c r="C52" s="406">
        <v>0</v>
      </c>
      <c r="D52" s="352">
        <f>C52/'- 3 -'!E52</f>
        <v>0</v>
      </c>
      <c r="E52" s="406">
        <v>0</v>
      </c>
      <c r="F52" s="352">
        <f>E52/'- 3 -'!E52</f>
        <v>0</v>
      </c>
    </row>
    <row r="53" spans="1:6" ht="12.75">
      <c r="A53" s="11">
        <v>47</v>
      </c>
      <c r="B53" s="12" t="s">
        <v>158</v>
      </c>
      <c r="C53" s="405">
        <v>36249</v>
      </c>
      <c r="D53" s="351">
        <f>C53/'- 3 -'!E53</f>
        <v>0.003936157136162001</v>
      </c>
      <c r="E53" s="405">
        <v>149645</v>
      </c>
      <c r="F53" s="351">
        <f>E53/'- 3 -'!E53</f>
        <v>0.016249447836932402</v>
      </c>
    </row>
    <row r="54" spans="1:6" ht="12.75">
      <c r="A54" s="13">
        <v>48</v>
      </c>
      <c r="B54" s="14" t="s">
        <v>159</v>
      </c>
      <c r="C54" s="406">
        <v>0</v>
      </c>
      <c r="D54" s="352">
        <f>C54/'- 3 -'!E54</f>
        <v>0</v>
      </c>
      <c r="E54" s="406">
        <v>0</v>
      </c>
      <c r="F54" s="352">
        <f>E54/'- 3 -'!E54</f>
        <v>0</v>
      </c>
    </row>
    <row r="55" spans="1:6" ht="12.75">
      <c r="A55" s="11">
        <v>49</v>
      </c>
      <c r="B55" s="12" t="s">
        <v>160</v>
      </c>
      <c r="C55" s="405">
        <v>0</v>
      </c>
      <c r="D55" s="351">
        <f>C55/'- 3 -'!E55</f>
        <v>0</v>
      </c>
      <c r="E55" s="405">
        <v>0</v>
      </c>
      <c r="F55" s="351">
        <f>E55/'- 3 -'!E55</f>
        <v>0</v>
      </c>
    </row>
    <row r="56" spans="1:6" ht="12.75">
      <c r="A56" s="13">
        <v>50</v>
      </c>
      <c r="B56" s="14" t="s">
        <v>343</v>
      </c>
      <c r="C56" s="406">
        <v>0</v>
      </c>
      <c r="D56" s="352">
        <f>C56/'- 3 -'!E56</f>
        <v>0</v>
      </c>
      <c r="E56" s="406">
        <v>0</v>
      </c>
      <c r="F56" s="352">
        <f>E56/'- 3 -'!E56</f>
        <v>0</v>
      </c>
    </row>
    <row r="57" spans="1:6" ht="12.75">
      <c r="A57" s="11">
        <v>2264</v>
      </c>
      <c r="B57" s="12" t="s">
        <v>161</v>
      </c>
      <c r="C57" s="405">
        <v>0</v>
      </c>
      <c r="D57" s="351">
        <f>C57/'- 3 -'!E57</f>
        <v>0</v>
      </c>
      <c r="E57" s="405">
        <v>0</v>
      </c>
      <c r="F57" s="351">
        <f>E57/'- 3 -'!E57</f>
        <v>0</v>
      </c>
    </row>
    <row r="58" spans="1:6" ht="12.75">
      <c r="A58" s="13">
        <v>2309</v>
      </c>
      <c r="B58" s="14" t="s">
        <v>162</v>
      </c>
      <c r="C58" s="406">
        <v>0</v>
      </c>
      <c r="D58" s="352">
        <f>C58/'- 3 -'!E58</f>
        <v>0</v>
      </c>
      <c r="E58" s="406">
        <v>0</v>
      </c>
      <c r="F58" s="352">
        <f>E58/'- 3 -'!E58</f>
        <v>0</v>
      </c>
    </row>
    <row r="59" spans="1:6" ht="12.75">
      <c r="A59" s="11">
        <v>2312</v>
      </c>
      <c r="B59" s="12" t="s">
        <v>163</v>
      </c>
      <c r="C59" s="405">
        <v>0</v>
      </c>
      <c r="D59" s="351">
        <f>C59/'- 3 -'!E59</f>
        <v>0</v>
      </c>
      <c r="E59" s="405">
        <v>0</v>
      </c>
      <c r="F59" s="351">
        <f>E59/'- 3 -'!E59</f>
        <v>0</v>
      </c>
    </row>
    <row r="60" spans="1:6" ht="12.75">
      <c r="A60" s="13">
        <v>2355</v>
      </c>
      <c r="B60" s="14" t="s">
        <v>164</v>
      </c>
      <c r="C60" s="406">
        <v>0</v>
      </c>
      <c r="D60" s="352">
        <f>C60/'- 3 -'!E60</f>
        <v>0</v>
      </c>
      <c r="E60" s="406">
        <v>0</v>
      </c>
      <c r="F60" s="352">
        <f>E60/'- 3 -'!E60</f>
        <v>0</v>
      </c>
    </row>
    <row r="61" spans="1:6" ht="12.75">
      <c r="A61" s="11">
        <v>2439</v>
      </c>
      <c r="B61" s="12" t="s">
        <v>165</v>
      </c>
      <c r="C61" s="405">
        <v>5756.96</v>
      </c>
      <c r="D61" s="351">
        <f>C61/'- 3 -'!E61</f>
        <v>0.004120407341275628</v>
      </c>
      <c r="E61" s="405">
        <v>64719.12</v>
      </c>
      <c r="F61" s="351">
        <f>E61/'- 3 -'!E61</f>
        <v>0.046321172488413734</v>
      </c>
    </row>
    <row r="62" spans="1:6" ht="12.75">
      <c r="A62" s="13">
        <v>2460</v>
      </c>
      <c r="B62" s="14" t="s">
        <v>166</v>
      </c>
      <c r="C62" s="406">
        <v>0</v>
      </c>
      <c r="D62" s="352">
        <f>C62/'- 3 -'!E62</f>
        <v>0</v>
      </c>
      <c r="E62" s="406">
        <v>0</v>
      </c>
      <c r="F62" s="352">
        <f>E62/'- 3 -'!E62</f>
        <v>0</v>
      </c>
    </row>
    <row r="63" spans="1:6" ht="12.75">
      <c r="A63" s="11">
        <v>3000</v>
      </c>
      <c r="B63" s="12" t="s">
        <v>366</v>
      </c>
      <c r="C63" s="405">
        <v>0</v>
      </c>
      <c r="D63" s="351">
        <f>C63/'- 3 -'!E63</f>
        <v>0</v>
      </c>
      <c r="E63" s="405">
        <v>0</v>
      </c>
      <c r="F63" s="351">
        <f>E63/'- 3 -'!E63</f>
        <v>0</v>
      </c>
    </row>
    <row r="64" spans="1:6" ht="4.5" customHeight="1">
      <c r="A64" s="15"/>
      <c r="B64" s="15"/>
      <c r="C64" s="412"/>
      <c r="D64" s="194"/>
      <c r="E64" s="412"/>
      <c r="F64" s="194"/>
    </row>
    <row r="65" spans="1:6" ht="12.75">
      <c r="A65" s="17"/>
      <c r="B65" s="18" t="s">
        <v>167</v>
      </c>
      <c r="C65" s="407">
        <f>SUM(C11:C63)</f>
        <v>1511337.96</v>
      </c>
      <c r="D65" s="100">
        <f>C65/'- 3 -'!E65</f>
        <v>0.0011647522121108643</v>
      </c>
      <c r="E65" s="407">
        <f>SUM(E11:E63)</f>
        <v>5753744.12</v>
      </c>
      <c r="F65" s="100">
        <f>E65/'- 3 -'!E65</f>
        <v>0.004434273715780869</v>
      </c>
    </row>
    <row r="66" spans="1:6" ht="4.5" customHeight="1">
      <c r="A66" s="15"/>
      <c r="B66" s="15"/>
      <c r="C66" s="412"/>
      <c r="D66" s="194"/>
      <c r="E66" s="412"/>
      <c r="F66" s="194"/>
    </row>
    <row r="67" spans="1:6" ht="12.75">
      <c r="A67" s="13">
        <v>2155</v>
      </c>
      <c r="B67" s="14" t="s">
        <v>168</v>
      </c>
      <c r="C67" s="406">
        <v>0</v>
      </c>
      <c r="D67" s="352">
        <f>C67/'- 3 -'!E67</f>
        <v>0</v>
      </c>
      <c r="E67" s="406">
        <v>0</v>
      </c>
      <c r="F67" s="352">
        <f>E67/'- 3 -'!E67</f>
        <v>0</v>
      </c>
    </row>
    <row r="68" spans="1:6" ht="12.75">
      <c r="A68" s="11">
        <v>2408</v>
      </c>
      <c r="B68" s="12" t="s">
        <v>170</v>
      </c>
      <c r="C68" s="405">
        <v>0</v>
      </c>
      <c r="D68" s="351">
        <f>C68/'- 3 -'!E68</f>
        <v>0</v>
      </c>
      <c r="E68" s="405">
        <v>0</v>
      </c>
      <c r="F68" s="351">
        <f>E68/'- 3 -'!E68</f>
        <v>0</v>
      </c>
    </row>
    <row r="69" ht="6.75" customHeight="1"/>
    <row r="70" spans="1:2" ht="12" customHeight="1">
      <c r="A70" s="380" t="s">
        <v>354</v>
      </c>
      <c r="B70" s="4" t="s">
        <v>463</v>
      </c>
    </row>
    <row r="71" spans="1:2" ht="9"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5"/>
  <sheetViews>
    <sheetView showGridLines="0" showZeros="0" workbookViewId="0" topLeftCell="A1">
      <selection activeCell="A1" sqref="A1"/>
    </sheetView>
  </sheetViews>
  <sheetFormatPr defaultColWidth="15.83203125" defaultRowHeight="12"/>
  <cols>
    <col min="1" max="1" width="6.83203125" style="15" customWidth="1"/>
    <col min="2" max="2" width="33.83203125" style="15" customWidth="1"/>
    <col min="3" max="3" width="17.83203125" style="15" customWidth="1"/>
    <col min="4" max="4" width="21.83203125" style="15" customWidth="1"/>
    <col min="5" max="5" width="20.83203125" style="15" customWidth="1"/>
    <col min="6" max="6" width="16.83203125" style="15" customWidth="1"/>
    <col min="7" max="7" width="20.83203125" style="15" customWidth="1"/>
    <col min="8" max="16384" width="15.83203125" style="15" customWidth="1"/>
  </cols>
  <sheetData>
    <row r="1" spans="2:7" ht="6.75" customHeight="1">
      <c r="B1" s="19"/>
      <c r="C1" s="54"/>
      <c r="D1" s="54"/>
      <c r="E1" s="54"/>
      <c r="F1" s="54"/>
      <c r="G1" s="54"/>
    </row>
    <row r="2" spans="1:7" ht="12.75">
      <c r="A2" s="55" t="s">
        <v>11</v>
      </c>
      <c r="B2" s="252"/>
      <c r="C2" s="55"/>
      <c r="D2" s="55"/>
      <c r="E2" s="55"/>
      <c r="F2" s="55"/>
      <c r="G2" s="55"/>
    </row>
    <row r="3" spans="1:7" ht="12.75">
      <c r="A3" s="58" t="s">
        <v>477</v>
      </c>
      <c r="B3" s="254"/>
      <c r="C3" s="58"/>
      <c r="D3" s="253"/>
      <c r="E3" s="58"/>
      <c r="F3" s="58"/>
      <c r="G3" s="58"/>
    </row>
    <row r="4" spans="1:7" ht="6" customHeight="1">
      <c r="A4" s="8"/>
      <c r="C4" s="54"/>
      <c r="D4" s="54"/>
      <c r="E4" s="54"/>
      <c r="F4" s="54"/>
      <c r="G4" s="54"/>
    </row>
    <row r="5" spans="1:7" ht="12.75">
      <c r="A5" s="8"/>
      <c r="C5" s="54"/>
      <c r="D5" s="54"/>
      <c r="E5" s="54"/>
      <c r="F5" s="54"/>
      <c r="G5" s="54"/>
    </row>
    <row r="6" spans="1:7" ht="12.75">
      <c r="A6" s="8"/>
      <c r="C6" s="204"/>
      <c r="D6" s="203" t="s">
        <v>36</v>
      </c>
      <c r="E6" s="385"/>
      <c r="F6" s="203" t="s">
        <v>36</v>
      </c>
      <c r="G6" s="203" t="s">
        <v>37</v>
      </c>
    </row>
    <row r="7" spans="3:7" ht="12.75">
      <c r="C7" s="69"/>
      <c r="D7" s="69" t="s">
        <v>193</v>
      </c>
      <c r="E7" s="386"/>
      <c r="F7" s="70" t="s">
        <v>439</v>
      </c>
      <c r="G7" s="70" t="s">
        <v>75</v>
      </c>
    </row>
    <row r="8" spans="1:7" ht="12.75">
      <c r="A8" s="42"/>
      <c r="B8" s="43"/>
      <c r="C8" s="69" t="s">
        <v>70</v>
      </c>
      <c r="D8" s="69" t="s">
        <v>212</v>
      </c>
      <c r="E8" s="70" t="s">
        <v>98</v>
      </c>
      <c r="F8" s="70" t="s">
        <v>99</v>
      </c>
      <c r="G8" s="70" t="s">
        <v>100</v>
      </c>
    </row>
    <row r="9" spans="1:7" ht="16.5">
      <c r="A9" s="49" t="s">
        <v>101</v>
      </c>
      <c r="B9" s="50" t="s">
        <v>102</v>
      </c>
      <c r="C9" s="255" t="s">
        <v>391</v>
      </c>
      <c r="D9" s="255" t="s">
        <v>392</v>
      </c>
      <c r="E9" s="256" t="s">
        <v>393</v>
      </c>
      <c r="F9" s="256" t="s">
        <v>440</v>
      </c>
      <c r="G9" s="256" t="s">
        <v>441</v>
      </c>
    </row>
    <row r="10" spans="1:2" ht="4.5" customHeight="1">
      <c r="A10" s="74"/>
      <c r="B10" s="74"/>
    </row>
    <row r="11" spans="1:7" ht="12.75">
      <c r="A11" s="11">
        <v>1</v>
      </c>
      <c r="B11" s="12" t="s">
        <v>116</v>
      </c>
      <c r="C11" s="405">
        <v>243103921.09</v>
      </c>
      <c r="D11" s="405">
        <v>2070333</v>
      </c>
      <c r="E11" s="405">
        <f>C11-D11</f>
        <v>241033588.09</v>
      </c>
      <c r="F11" s="405">
        <f>'- 15 -'!I11+'- 16 -'!C11</f>
        <v>5040830</v>
      </c>
      <c r="G11" s="405">
        <f>E11-F11</f>
        <v>235992758.09</v>
      </c>
    </row>
    <row r="12" spans="1:7" ht="12.75">
      <c r="A12" s="13">
        <v>2</v>
      </c>
      <c r="B12" s="14" t="s">
        <v>117</v>
      </c>
      <c r="C12" s="406">
        <v>61222521</v>
      </c>
      <c r="D12" s="406">
        <v>1130935</v>
      </c>
      <c r="E12" s="406">
        <f aca="true" t="shared" si="0" ref="E12:E63">C12-D12</f>
        <v>60091586</v>
      </c>
      <c r="F12" s="406">
        <f>'- 15 -'!I12+'- 16 -'!C12</f>
        <v>503940</v>
      </c>
      <c r="G12" s="406">
        <f aca="true" t="shared" si="1" ref="G12:G63">E12-F12</f>
        <v>59587646</v>
      </c>
    </row>
    <row r="13" spans="1:7" ht="12.75">
      <c r="A13" s="11">
        <v>3</v>
      </c>
      <c r="B13" s="12" t="s">
        <v>118</v>
      </c>
      <c r="C13" s="405">
        <v>45343273</v>
      </c>
      <c r="D13" s="405">
        <v>3362873</v>
      </c>
      <c r="E13" s="405">
        <f t="shared" si="0"/>
        <v>41980400</v>
      </c>
      <c r="F13" s="405">
        <f>'- 15 -'!I13+'- 16 -'!C13</f>
        <v>124281</v>
      </c>
      <c r="G13" s="405">
        <f t="shared" si="1"/>
        <v>41856119</v>
      </c>
    </row>
    <row r="14" spans="1:7" ht="12.75">
      <c r="A14" s="13">
        <v>4</v>
      </c>
      <c r="B14" s="14" t="s">
        <v>119</v>
      </c>
      <c r="C14" s="406">
        <v>41936145.57</v>
      </c>
      <c r="D14" s="406">
        <v>370502</v>
      </c>
      <c r="E14" s="406">
        <f t="shared" si="0"/>
        <v>41565643.57</v>
      </c>
      <c r="F14" s="406">
        <f>'- 15 -'!I14+'- 16 -'!C14</f>
        <v>192609</v>
      </c>
      <c r="G14" s="406">
        <f t="shared" si="1"/>
        <v>41373034.57</v>
      </c>
    </row>
    <row r="15" spans="1:7" ht="12.75">
      <c r="A15" s="11">
        <v>5</v>
      </c>
      <c r="B15" s="12" t="s">
        <v>120</v>
      </c>
      <c r="C15" s="405">
        <v>51154074</v>
      </c>
      <c r="D15" s="405">
        <v>896398</v>
      </c>
      <c r="E15" s="405">
        <f t="shared" si="0"/>
        <v>50257676</v>
      </c>
      <c r="F15" s="405">
        <f>'- 15 -'!I15+'- 16 -'!C15</f>
        <v>27377</v>
      </c>
      <c r="G15" s="405">
        <f t="shared" si="1"/>
        <v>50230299</v>
      </c>
    </row>
    <row r="16" spans="1:7" ht="12.75">
      <c r="A16" s="13">
        <v>6</v>
      </c>
      <c r="B16" s="14" t="s">
        <v>121</v>
      </c>
      <c r="C16" s="406">
        <v>58984766</v>
      </c>
      <c r="D16" s="406">
        <v>1068569</v>
      </c>
      <c r="E16" s="406">
        <f t="shared" si="0"/>
        <v>57916197</v>
      </c>
      <c r="F16" s="406">
        <f>'- 15 -'!I16+'- 16 -'!C16</f>
        <v>257402</v>
      </c>
      <c r="G16" s="406">
        <f t="shared" si="1"/>
        <v>57658795</v>
      </c>
    </row>
    <row r="17" spans="1:7" ht="12.75">
      <c r="A17" s="11">
        <v>9</v>
      </c>
      <c r="B17" s="12" t="s">
        <v>122</v>
      </c>
      <c r="C17" s="405">
        <v>82138631</v>
      </c>
      <c r="D17" s="405">
        <v>616949</v>
      </c>
      <c r="E17" s="405">
        <f t="shared" si="0"/>
        <v>81521682</v>
      </c>
      <c r="F17" s="405">
        <f>'- 15 -'!I17+'- 16 -'!C17</f>
        <v>707575</v>
      </c>
      <c r="G17" s="405">
        <f t="shared" si="1"/>
        <v>80814107</v>
      </c>
    </row>
    <row r="18" spans="1:7" ht="12.75">
      <c r="A18" s="13">
        <v>10</v>
      </c>
      <c r="B18" s="14" t="s">
        <v>123</v>
      </c>
      <c r="C18" s="406">
        <v>62624917.190000005</v>
      </c>
      <c r="D18" s="406">
        <v>2703907.63</v>
      </c>
      <c r="E18" s="406">
        <f t="shared" si="0"/>
        <v>59921009.56</v>
      </c>
      <c r="F18" s="406">
        <f>'- 15 -'!I18+'- 16 -'!C18</f>
        <v>151236.87</v>
      </c>
      <c r="G18" s="406">
        <f t="shared" si="1"/>
        <v>59769772.690000005</v>
      </c>
    </row>
    <row r="19" spans="1:7" ht="12.75">
      <c r="A19" s="11">
        <v>11</v>
      </c>
      <c r="B19" s="12" t="s">
        <v>124</v>
      </c>
      <c r="C19" s="405">
        <v>32478903</v>
      </c>
      <c r="D19" s="405">
        <v>150846</v>
      </c>
      <c r="E19" s="405">
        <f t="shared" si="0"/>
        <v>32328057</v>
      </c>
      <c r="F19" s="405">
        <f>'- 15 -'!I19+'- 16 -'!C19</f>
        <v>629104</v>
      </c>
      <c r="G19" s="405">
        <f t="shared" si="1"/>
        <v>31698953</v>
      </c>
    </row>
    <row r="20" spans="1:7" ht="12.75">
      <c r="A20" s="13">
        <v>12</v>
      </c>
      <c r="B20" s="14" t="s">
        <v>125</v>
      </c>
      <c r="C20" s="406">
        <v>52176522</v>
      </c>
      <c r="D20" s="406">
        <v>378144</v>
      </c>
      <c r="E20" s="406">
        <f t="shared" si="0"/>
        <v>51798378</v>
      </c>
      <c r="F20" s="406">
        <f>'- 15 -'!I20+'- 16 -'!C20</f>
        <v>832773</v>
      </c>
      <c r="G20" s="406">
        <f t="shared" si="1"/>
        <v>50965605</v>
      </c>
    </row>
    <row r="21" spans="1:7" ht="12.75">
      <c r="A21" s="11">
        <v>13</v>
      </c>
      <c r="B21" s="12" t="s">
        <v>126</v>
      </c>
      <c r="C21" s="405">
        <v>20212317</v>
      </c>
      <c r="D21" s="405">
        <v>443964</v>
      </c>
      <c r="E21" s="405">
        <f t="shared" si="0"/>
        <v>19768353</v>
      </c>
      <c r="F21" s="405">
        <f>'- 15 -'!I21+'- 16 -'!C21</f>
        <v>999984</v>
      </c>
      <c r="G21" s="405">
        <f t="shared" si="1"/>
        <v>18768369</v>
      </c>
    </row>
    <row r="22" spans="1:7" ht="12.75">
      <c r="A22" s="13">
        <v>14</v>
      </c>
      <c r="B22" s="14" t="s">
        <v>127</v>
      </c>
      <c r="C22" s="406">
        <v>23504086.41</v>
      </c>
      <c r="D22" s="406">
        <v>508802</v>
      </c>
      <c r="E22" s="406">
        <f t="shared" si="0"/>
        <v>22995284.41</v>
      </c>
      <c r="F22" s="406">
        <f>'- 15 -'!I22+'- 16 -'!C22</f>
        <v>326657</v>
      </c>
      <c r="G22" s="406">
        <f t="shared" si="1"/>
        <v>22668627.41</v>
      </c>
    </row>
    <row r="23" spans="1:7" ht="12.75">
      <c r="A23" s="11">
        <v>15</v>
      </c>
      <c r="B23" s="12" t="s">
        <v>128</v>
      </c>
      <c r="C23" s="405">
        <v>32149097</v>
      </c>
      <c r="D23" s="405">
        <v>161714</v>
      </c>
      <c r="E23" s="405">
        <f t="shared" si="0"/>
        <v>31987383</v>
      </c>
      <c r="F23" s="405">
        <f>'- 15 -'!I23+'- 16 -'!C23</f>
        <v>139055</v>
      </c>
      <c r="G23" s="405">
        <f t="shared" si="1"/>
        <v>31848328</v>
      </c>
    </row>
    <row r="24" spans="1:7" ht="12.75">
      <c r="A24" s="13">
        <v>16</v>
      </c>
      <c r="B24" s="14" t="s">
        <v>129</v>
      </c>
      <c r="C24" s="406">
        <v>6300719.399999999</v>
      </c>
      <c r="D24" s="406">
        <v>120804</v>
      </c>
      <c r="E24" s="406">
        <f t="shared" si="0"/>
        <v>6179915.399999999</v>
      </c>
      <c r="F24" s="406">
        <f>'- 15 -'!I24+'- 16 -'!C24</f>
        <v>57725</v>
      </c>
      <c r="G24" s="406">
        <f t="shared" si="1"/>
        <v>6122190.399999999</v>
      </c>
    </row>
    <row r="25" spans="1:7" ht="12.75">
      <c r="A25" s="11">
        <v>17</v>
      </c>
      <c r="B25" s="12" t="s">
        <v>130</v>
      </c>
      <c r="C25" s="405">
        <v>4468325.1</v>
      </c>
      <c r="D25" s="405">
        <v>305419</v>
      </c>
      <c r="E25" s="405">
        <f t="shared" si="0"/>
        <v>4162906.0999999996</v>
      </c>
      <c r="F25" s="405">
        <f>'- 15 -'!I25+'- 16 -'!C25</f>
        <v>10287.1</v>
      </c>
      <c r="G25" s="405">
        <f t="shared" si="1"/>
        <v>4152618.9999999995</v>
      </c>
    </row>
    <row r="26" spans="1:7" ht="12.75">
      <c r="A26" s="13">
        <v>18</v>
      </c>
      <c r="B26" s="14" t="s">
        <v>131</v>
      </c>
      <c r="C26" s="406">
        <v>9725772.61</v>
      </c>
      <c r="D26" s="406">
        <v>121899</v>
      </c>
      <c r="E26" s="406">
        <f t="shared" si="0"/>
        <v>9603873.61</v>
      </c>
      <c r="F26" s="406">
        <f>'- 15 -'!I26+'- 16 -'!C26</f>
        <v>329850</v>
      </c>
      <c r="G26" s="406">
        <f t="shared" si="1"/>
        <v>9274023.61</v>
      </c>
    </row>
    <row r="27" spans="1:7" ht="12.75">
      <c r="A27" s="11">
        <v>19</v>
      </c>
      <c r="B27" s="12" t="s">
        <v>132</v>
      </c>
      <c r="C27" s="405">
        <v>15012701.059999999</v>
      </c>
      <c r="D27" s="405">
        <v>313261</v>
      </c>
      <c r="E27" s="405">
        <f t="shared" si="0"/>
        <v>14699440.059999999</v>
      </c>
      <c r="F27" s="405">
        <f>'- 15 -'!I27+'- 16 -'!C27</f>
        <v>1939074</v>
      </c>
      <c r="G27" s="405">
        <f t="shared" si="1"/>
        <v>12760366.059999999</v>
      </c>
    </row>
    <row r="28" spans="1:7" ht="12.75">
      <c r="A28" s="13">
        <v>20</v>
      </c>
      <c r="B28" s="14" t="s">
        <v>133</v>
      </c>
      <c r="C28" s="406">
        <v>7726844</v>
      </c>
      <c r="D28" s="406">
        <v>167743</v>
      </c>
      <c r="E28" s="406">
        <f t="shared" si="0"/>
        <v>7559101</v>
      </c>
      <c r="F28" s="406">
        <f>'- 15 -'!I28+'- 16 -'!C28</f>
        <v>17970</v>
      </c>
      <c r="G28" s="406">
        <f t="shared" si="1"/>
        <v>7541131</v>
      </c>
    </row>
    <row r="29" spans="1:7" ht="12.75">
      <c r="A29" s="11">
        <v>21</v>
      </c>
      <c r="B29" s="12" t="s">
        <v>134</v>
      </c>
      <c r="C29" s="405">
        <v>22528632</v>
      </c>
      <c r="D29" s="405">
        <v>223136</v>
      </c>
      <c r="E29" s="405">
        <f t="shared" si="0"/>
        <v>22305496</v>
      </c>
      <c r="F29" s="405">
        <f>'- 15 -'!I29+'- 16 -'!C29</f>
        <v>329890</v>
      </c>
      <c r="G29" s="405">
        <f t="shared" si="1"/>
        <v>21975606</v>
      </c>
    </row>
    <row r="30" spans="1:7" ht="12.75">
      <c r="A30" s="13">
        <v>22</v>
      </c>
      <c r="B30" s="14" t="s">
        <v>135</v>
      </c>
      <c r="C30" s="406">
        <v>11845936</v>
      </c>
      <c r="D30" s="406">
        <v>74239</v>
      </c>
      <c r="E30" s="406">
        <f t="shared" si="0"/>
        <v>11771697</v>
      </c>
      <c r="F30" s="406">
        <f>'- 15 -'!I30+'- 16 -'!C30</f>
        <v>258798</v>
      </c>
      <c r="G30" s="406">
        <f t="shared" si="1"/>
        <v>11512899</v>
      </c>
    </row>
    <row r="31" spans="1:7" ht="12.75">
      <c r="A31" s="11">
        <v>23</v>
      </c>
      <c r="B31" s="12" t="s">
        <v>136</v>
      </c>
      <c r="C31" s="405">
        <v>10147645</v>
      </c>
      <c r="D31" s="405">
        <v>33329</v>
      </c>
      <c r="E31" s="405">
        <f t="shared" si="0"/>
        <v>10114316</v>
      </c>
      <c r="F31" s="405">
        <f>'- 15 -'!I31+'- 16 -'!C31</f>
        <v>96315</v>
      </c>
      <c r="G31" s="405">
        <f t="shared" si="1"/>
        <v>10018001</v>
      </c>
    </row>
    <row r="32" spans="1:7" ht="12.75">
      <c r="A32" s="13">
        <v>24</v>
      </c>
      <c r="B32" s="14" t="s">
        <v>137</v>
      </c>
      <c r="C32" s="406">
        <v>22775965</v>
      </c>
      <c r="D32" s="406">
        <v>44800</v>
      </c>
      <c r="E32" s="406">
        <f t="shared" si="0"/>
        <v>22731165</v>
      </c>
      <c r="F32" s="406">
        <f>'- 15 -'!I32+'- 16 -'!C32</f>
        <v>248770</v>
      </c>
      <c r="G32" s="406">
        <f t="shared" si="1"/>
        <v>22482395</v>
      </c>
    </row>
    <row r="33" spans="1:7" ht="12.75">
      <c r="A33" s="11">
        <v>25</v>
      </c>
      <c r="B33" s="12" t="s">
        <v>138</v>
      </c>
      <c r="C33" s="405">
        <v>10545358</v>
      </c>
      <c r="D33" s="405">
        <v>37112</v>
      </c>
      <c r="E33" s="405">
        <f t="shared" si="0"/>
        <v>10508246</v>
      </c>
      <c r="F33" s="405">
        <f>'- 15 -'!I33+'- 16 -'!C33</f>
        <v>415489</v>
      </c>
      <c r="G33" s="405">
        <f t="shared" si="1"/>
        <v>10092757</v>
      </c>
    </row>
    <row r="34" spans="1:7" ht="12.75">
      <c r="A34" s="13">
        <v>26</v>
      </c>
      <c r="B34" s="14" t="s">
        <v>139</v>
      </c>
      <c r="C34" s="406">
        <v>16362247</v>
      </c>
      <c r="D34" s="406">
        <v>142878</v>
      </c>
      <c r="E34" s="406">
        <f t="shared" si="0"/>
        <v>16219369</v>
      </c>
      <c r="F34" s="406">
        <f>'- 15 -'!I34+'- 16 -'!C34</f>
        <v>138310</v>
      </c>
      <c r="G34" s="406">
        <f t="shared" si="1"/>
        <v>16081059</v>
      </c>
    </row>
    <row r="35" spans="1:7" ht="12.75">
      <c r="A35" s="11">
        <v>28</v>
      </c>
      <c r="B35" s="12" t="s">
        <v>140</v>
      </c>
      <c r="C35" s="405">
        <v>6452623</v>
      </c>
      <c r="D35" s="405">
        <v>83044</v>
      </c>
      <c r="E35" s="405">
        <f t="shared" si="0"/>
        <v>6369579</v>
      </c>
      <c r="F35" s="405">
        <f>'- 15 -'!I35+'- 16 -'!C35</f>
        <v>3080</v>
      </c>
      <c r="G35" s="405">
        <f t="shared" si="1"/>
        <v>6366499</v>
      </c>
    </row>
    <row r="36" spans="1:7" ht="12.75">
      <c r="A36" s="13">
        <v>30</v>
      </c>
      <c r="B36" s="14" t="s">
        <v>141</v>
      </c>
      <c r="C36" s="406">
        <v>9269363</v>
      </c>
      <c r="D36" s="406">
        <v>30415</v>
      </c>
      <c r="E36" s="406">
        <f t="shared" si="0"/>
        <v>9238948</v>
      </c>
      <c r="F36" s="406">
        <f>'- 15 -'!I36+'- 16 -'!C36</f>
        <v>5004</v>
      </c>
      <c r="G36" s="406">
        <f t="shared" si="1"/>
        <v>9233944</v>
      </c>
    </row>
    <row r="37" spans="1:7" ht="12.75">
      <c r="A37" s="11">
        <v>31</v>
      </c>
      <c r="B37" s="12" t="s">
        <v>142</v>
      </c>
      <c r="C37" s="405">
        <v>10790520</v>
      </c>
      <c r="D37" s="405">
        <v>31388</v>
      </c>
      <c r="E37" s="405">
        <f t="shared" si="0"/>
        <v>10759132</v>
      </c>
      <c r="F37" s="405">
        <f>'- 15 -'!I37+'- 16 -'!C37</f>
        <v>2931</v>
      </c>
      <c r="G37" s="405">
        <f t="shared" si="1"/>
        <v>10756201</v>
      </c>
    </row>
    <row r="38" spans="1:7" ht="12.75">
      <c r="A38" s="13">
        <v>32</v>
      </c>
      <c r="B38" s="14" t="s">
        <v>143</v>
      </c>
      <c r="C38" s="406">
        <v>6438028.08</v>
      </c>
      <c r="D38" s="406">
        <v>94657</v>
      </c>
      <c r="E38" s="406">
        <f t="shared" si="0"/>
        <v>6343371.08</v>
      </c>
      <c r="F38" s="406">
        <f>'- 15 -'!I38+'- 16 -'!C38</f>
        <v>0</v>
      </c>
      <c r="G38" s="406">
        <f t="shared" si="1"/>
        <v>6343371.08</v>
      </c>
    </row>
    <row r="39" spans="1:7" ht="12.75">
      <c r="A39" s="11">
        <v>33</v>
      </c>
      <c r="B39" s="12" t="s">
        <v>144</v>
      </c>
      <c r="C39" s="405">
        <v>13001465</v>
      </c>
      <c r="D39" s="405">
        <v>440</v>
      </c>
      <c r="E39" s="405">
        <f t="shared" si="0"/>
        <v>13001025</v>
      </c>
      <c r="F39" s="405">
        <f>'- 15 -'!I39+'- 16 -'!C39</f>
        <v>67180</v>
      </c>
      <c r="G39" s="405">
        <f t="shared" si="1"/>
        <v>12933845</v>
      </c>
    </row>
    <row r="40" spans="1:7" ht="12.75">
      <c r="A40" s="13">
        <v>34</v>
      </c>
      <c r="B40" s="14" t="s">
        <v>145</v>
      </c>
      <c r="C40" s="406">
        <v>5788624.05</v>
      </c>
      <c r="D40" s="406">
        <v>0</v>
      </c>
      <c r="E40" s="406">
        <f t="shared" si="0"/>
        <v>5788624.05</v>
      </c>
      <c r="F40" s="406">
        <f>'- 15 -'!I40+'- 16 -'!C40</f>
        <v>5102</v>
      </c>
      <c r="G40" s="406">
        <f t="shared" si="1"/>
        <v>5783522.05</v>
      </c>
    </row>
    <row r="41" spans="1:7" ht="12.75">
      <c r="A41" s="11">
        <v>35</v>
      </c>
      <c r="B41" s="12" t="s">
        <v>146</v>
      </c>
      <c r="C41" s="405">
        <v>14057059.43</v>
      </c>
      <c r="D41" s="405">
        <v>138259</v>
      </c>
      <c r="E41" s="405">
        <f t="shared" si="0"/>
        <v>13918800.43</v>
      </c>
      <c r="F41" s="405">
        <f>'- 15 -'!I41+'- 16 -'!C41</f>
        <v>51171</v>
      </c>
      <c r="G41" s="405">
        <f t="shared" si="1"/>
        <v>13867629.43</v>
      </c>
    </row>
    <row r="42" spans="1:7" ht="12.75">
      <c r="A42" s="13">
        <v>36</v>
      </c>
      <c r="B42" s="14" t="s">
        <v>147</v>
      </c>
      <c r="C42" s="406">
        <v>8093434.66</v>
      </c>
      <c r="D42" s="406">
        <v>79764</v>
      </c>
      <c r="E42" s="406">
        <f t="shared" si="0"/>
        <v>8013670.66</v>
      </c>
      <c r="F42" s="406">
        <f>'- 15 -'!I42+'- 16 -'!C42</f>
        <v>22534</v>
      </c>
      <c r="G42" s="406">
        <f t="shared" si="1"/>
        <v>7991136.66</v>
      </c>
    </row>
    <row r="43" spans="1:7" ht="12.75">
      <c r="A43" s="11">
        <v>37</v>
      </c>
      <c r="B43" s="12" t="s">
        <v>148</v>
      </c>
      <c r="C43" s="405">
        <v>6906324.34</v>
      </c>
      <c r="D43" s="405">
        <v>33915</v>
      </c>
      <c r="E43" s="405">
        <f t="shared" si="0"/>
        <v>6872409.34</v>
      </c>
      <c r="F43" s="405">
        <f>'- 15 -'!I43+'- 16 -'!C43</f>
        <v>5471</v>
      </c>
      <c r="G43" s="405">
        <f t="shared" si="1"/>
        <v>6866938.34</v>
      </c>
    </row>
    <row r="44" spans="1:7" ht="12.75">
      <c r="A44" s="13">
        <v>38</v>
      </c>
      <c r="B44" s="14" t="s">
        <v>149</v>
      </c>
      <c r="C44" s="406">
        <v>8974240</v>
      </c>
      <c r="D44" s="406">
        <v>40552</v>
      </c>
      <c r="E44" s="406">
        <f t="shared" si="0"/>
        <v>8933688</v>
      </c>
      <c r="F44" s="406">
        <f>'- 15 -'!I44+'- 16 -'!C44</f>
        <v>0</v>
      </c>
      <c r="G44" s="406">
        <f t="shared" si="1"/>
        <v>8933688</v>
      </c>
    </row>
    <row r="45" spans="1:7" ht="12.75">
      <c r="A45" s="11">
        <v>39</v>
      </c>
      <c r="B45" s="12" t="s">
        <v>150</v>
      </c>
      <c r="C45" s="405">
        <v>15041209</v>
      </c>
      <c r="D45" s="405">
        <v>119098</v>
      </c>
      <c r="E45" s="405">
        <f t="shared" si="0"/>
        <v>14922111</v>
      </c>
      <c r="F45" s="405">
        <f>'- 15 -'!I45+'- 16 -'!C45</f>
        <v>99858</v>
      </c>
      <c r="G45" s="405">
        <f t="shared" si="1"/>
        <v>14822253</v>
      </c>
    </row>
    <row r="46" spans="1:7" ht="12.75">
      <c r="A46" s="13">
        <v>40</v>
      </c>
      <c r="B46" s="14" t="s">
        <v>151</v>
      </c>
      <c r="C46" s="406">
        <v>44880277</v>
      </c>
      <c r="D46" s="406">
        <v>81114</v>
      </c>
      <c r="E46" s="406">
        <f t="shared" si="0"/>
        <v>44799163</v>
      </c>
      <c r="F46" s="406">
        <f>'- 15 -'!I46+'- 16 -'!C46</f>
        <v>53402</v>
      </c>
      <c r="G46" s="406">
        <f t="shared" si="1"/>
        <v>44745761</v>
      </c>
    </row>
    <row r="47" spans="1:7" ht="12.75">
      <c r="A47" s="11">
        <v>41</v>
      </c>
      <c r="B47" s="12" t="s">
        <v>152</v>
      </c>
      <c r="C47" s="405">
        <v>12303075</v>
      </c>
      <c r="D47" s="405">
        <v>29596</v>
      </c>
      <c r="E47" s="405">
        <f t="shared" si="0"/>
        <v>12273479</v>
      </c>
      <c r="F47" s="405">
        <f>'- 15 -'!I47+'- 16 -'!C47</f>
        <v>148460</v>
      </c>
      <c r="G47" s="405">
        <f t="shared" si="1"/>
        <v>12125019</v>
      </c>
    </row>
    <row r="48" spans="1:7" ht="12.75">
      <c r="A48" s="13">
        <v>42</v>
      </c>
      <c r="B48" s="14" t="s">
        <v>153</v>
      </c>
      <c r="C48" s="406">
        <v>7798279</v>
      </c>
      <c r="D48" s="406">
        <v>69073</v>
      </c>
      <c r="E48" s="406">
        <f t="shared" si="0"/>
        <v>7729206</v>
      </c>
      <c r="F48" s="406">
        <f>'- 15 -'!I48+'- 16 -'!C48</f>
        <v>5085</v>
      </c>
      <c r="G48" s="406">
        <f t="shared" si="1"/>
        <v>7724121</v>
      </c>
    </row>
    <row r="49" spans="1:7" ht="12.75">
      <c r="A49" s="11">
        <v>43</v>
      </c>
      <c r="B49" s="12" t="s">
        <v>154</v>
      </c>
      <c r="C49" s="405">
        <v>6389990</v>
      </c>
      <c r="D49" s="405">
        <v>31540</v>
      </c>
      <c r="E49" s="405">
        <f t="shared" si="0"/>
        <v>6358450</v>
      </c>
      <c r="F49" s="405">
        <f>'- 15 -'!I49+'- 16 -'!C49</f>
        <v>43707</v>
      </c>
      <c r="G49" s="405">
        <f t="shared" si="1"/>
        <v>6314743</v>
      </c>
    </row>
    <row r="50" spans="1:7" ht="12.75">
      <c r="A50" s="13">
        <v>44</v>
      </c>
      <c r="B50" s="14" t="s">
        <v>155</v>
      </c>
      <c r="C50" s="406">
        <v>9281016</v>
      </c>
      <c r="D50" s="406">
        <v>29962</v>
      </c>
      <c r="E50" s="406">
        <f t="shared" si="0"/>
        <v>9251054</v>
      </c>
      <c r="F50" s="406">
        <f>'- 15 -'!I50+'- 16 -'!C50</f>
        <v>358719</v>
      </c>
      <c r="G50" s="406">
        <f t="shared" si="1"/>
        <v>8892335</v>
      </c>
    </row>
    <row r="51" spans="1:7" ht="12.75">
      <c r="A51" s="11">
        <v>45</v>
      </c>
      <c r="B51" s="12" t="s">
        <v>156</v>
      </c>
      <c r="C51" s="405">
        <v>12067860</v>
      </c>
      <c r="D51" s="405">
        <v>8454</v>
      </c>
      <c r="E51" s="405">
        <f t="shared" si="0"/>
        <v>12059406</v>
      </c>
      <c r="F51" s="405">
        <f>'- 15 -'!I51+'- 16 -'!C51</f>
        <v>21389</v>
      </c>
      <c r="G51" s="405">
        <f t="shared" si="1"/>
        <v>12038017</v>
      </c>
    </row>
    <row r="52" spans="1:7" ht="12.75">
      <c r="A52" s="13">
        <v>46</v>
      </c>
      <c r="B52" s="14" t="s">
        <v>157</v>
      </c>
      <c r="C52" s="406">
        <v>10939169.56</v>
      </c>
      <c r="D52" s="406">
        <v>0</v>
      </c>
      <c r="E52" s="406">
        <f t="shared" si="0"/>
        <v>10939169.56</v>
      </c>
      <c r="F52" s="406">
        <f>'- 15 -'!I52+'- 16 -'!C52</f>
        <v>5000</v>
      </c>
      <c r="G52" s="406">
        <f t="shared" si="1"/>
        <v>10934169.56</v>
      </c>
    </row>
    <row r="53" spans="1:7" ht="12.75">
      <c r="A53" s="11">
        <v>47</v>
      </c>
      <c r="B53" s="12" t="s">
        <v>158</v>
      </c>
      <c r="C53" s="405">
        <v>9246067</v>
      </c>
      <c r="D53" s="405">
        <v>36831</v>
      </c>
      <c r="E53" s="405">
        <f t="shared" si="0"/>
        <v>9209236</v>
      </c>
      <c r="F53" s="405">
        <f>'- 15 -'!I53+'- 16 -'!C53</f>
        <v>196789</v>
      </c>
      <c r="G53" s="405">
        <f t="shared" si="1"/>
        <v>9012447</v>
      </c>
    </row>
    <row r="54" spans="1:7" ht="12.75">
      <c r="A54" s="13">
        <v>48</v>
      </c>
      <c r="B54" s="14" t="s">
        <v>159</v>
      </c>
      <c r="C54" s="406">
        <v>61201469</v>
      </c>
      <c r="D54" s="406">
        <v>1807170</v>
      </c>
      <c r="E54" s="406">
        <f t="shared" si="0"/>
        <v>59394299</v>
      </c>
      <c r="F54" s="406">
        <f>'- 15 -'!I54+'- 16 -'!C54</f>
        <v>664681</v>
      </c>
      <c r="G54" s="406">
        <f t="shared" si="1"/>
        <v>58729618</v>
      </c>
    </row>
    <row r="55" spans="1:7" ht="12.75">
      <c r="A55" s="11">
        <v>49</v>
      </c>
      <c r="B55" s="12" t="s">
        <v>160</v>
      </c>
      <c r="C55" s="405">
        <v>36351996</v>
      </c>
      <c r="D55" s="405">
        <v>128533</v>
      </c>
      <c r="E55" s="405">
        <f t="shared" si="0"/>
        <v>36223463</v>
      </c>
      <c r="F55" s="405">
        <f>'- 15 -'!I55+'- 16 -'!C55</f>
        <v>157934</v>
      </c>
      <c r="G55" s="405">
        <f t="shared" si="1"/>
        <v>36065529</v>
      </c>
    </row>
    <row r="56" spans="1:7" ht="12.75">
      <c r="A56" s="13">
        <v>50</v>
      </c>
      <c r="B56" s="14" t="s">
        <v>343</v>
      </c>
      <c r="C56" s="406">
        <v>14510027</v>
      </c>
      <c r="D56" s="406">
        <v>95789</v>
      </c>
      <c r="E56" s="406">
        <f t="shared" si="0"/>
        <v>14414238</v>
      </c>
      <c r="F56" s="406">
        <f>'- 15 -'!I56+'- 16 -'!C56</f>
        <v>5540</v>
      </c>
      <c r="G56" s="406">
        <f t="shared" si="1"/>
        <v>14408698</v>
      </c>
    </row>
    <row r="57" spans="1:7" ht="12.75">
      <c r="A57" s="11">
        <v>2264</v>
      </c>
      <c r="B57" s="12" t="s">
        <v>161</v>
      </c>
      <c r="C57" s="405">
        <v>2106892.49</v>
      </c>
      <c r="D57" s="405">
        <v>1652</v>
      </c>
      <c r="E57" s="405">
        <f t="shared" si="0"/>
        <v>2105240.49</v>
      </c>
      <c r="F57" s="405">
        <f>'- 15 -'!I57+'- 16 -'!C57</f>
        <v>0</v>
      </c>
      <c r="G57" s="405">
        <f t="shared" si="1"/>
        <v>2105240.49</v>
      </c>
    </row>
    <row r="58" spans="1:7" ht="12.75">
      <c r="A58" s="13">
        <v>2309</v>
      </c>
      <c r="B58" s="14" t="s">
        <v>162</v>
      </c>
      <c r="C58" s="406">
        <v>2327048</v>
      </c>
      <c r="D58" s="406">
        <v>61874</v>
      </c>
      <c r="E58" s="406">
        <f t="shared" si="0"/>
        <v>2265174</v>
      </c>
      <c r="F58" s="406">
        <f>'- 15 -'!I58+'- 16 -'!C58</f>
        <v>0</v>
      </c>
      <c r="G58" s="406">
        <f t="shared" si="1"/>
        <v>2265174</v>
      </c>
    </row>
    <row r="59" spans="1:7" ht="12.75">
      <c r="A59" s="11">
        <v>2312</v>
      </c>
      <c r="B59" s="12" t="s">
        <v>163</v>
      </c>
      <c r="C59" s="405">
        <v>2014593</v>
      </c>
      <c r="D59" s="405">
        <v>200</v>
      </c>
      <c r="E59" s="405">
        <f t="shared" si="0"/>
        <v>2014393</v>
      </c>
      <c r="F59" s="405">
        <f>'- 15 -'!I59+'- 16 -'!C59</f>
        <v>6500</v>
      </c>
      <c r="G59" s="405">
        <f t="shared" si="1"/>
        <v>2007893</v>
      </c>
    </row>
    <row r="60" spans="1:7" ht="12.75">
      <c r="A60" s="13">
        <v>2355</v>
      </c>
      <c r="B60" s="14" t="s">
        <v>164</v>
      </c>
      <c r="C60" s="406">
        <v>24877415.83</v>
      </c>
      <c r="D60" s="406">
        <v>2311</v>
      </c>
      <c r="E60" s="406">
        <f t="shared" si="0"/>
        <v>24875104.83</v>
      </c>
      <c r="F60" s="406">
        <f>'- 15 -'!I60+'- 16 -'!C60</f>
        <v>8522</v>
      </c>
      <c r="G60" s="406">
        <f t="shared" si="1"/>
        <v>24866582.83</v>
      </c>
    </row>
    <row r="61" spans="1:7" ht="12.75">
      <c r="A61" s="11">
        <v>2439</v>
      </c>
      <c r="B61" s="12" t="s">
        <v>165</v>
      </c>
      <c r="C61" s="405">
        <v>1397282.25</v>
      </c>
      <c r="D61" s="405">
        <v>100</v>
      </c>
      <c r="E61" s="405">
        <f t="shared" si="0"/>
        <v>1397182.25</v>
      </c>
      <c r="F61" s="405">
        <f>'- 15 -'!I61+'- 16 -'!C61</f>
        <v>70476.08</v>
      </c>
      <c r="G61" s="405">
        <f t="shared" si="1"/>
        <v>1326706.17</v>
      </c>
    </row>
    <row r="62" spans="1:7" ht="12.75">
      <c r="A62" s="13">
        <v>2460</v>
      </c>
      <c r="B62" s="14" t="s">
        <v>166</v>
      </c>
      <c r="C62" s="406">
        <v>3321717</v>
      </c>
      <c r="D62" s="406">
        <v>17201</v>
      </c>
      <c r="E62" s="406">
        <f t="shared" si="0"/>
        <v>3304516</v>
      </c>
      <c r="F62" s="406">
        <f>'- 15 -'!I62+'- 16 -'!C62</f>
        <v>5134</v>
      </c>
      <c r="G62" s="406">
        <f t="shared" si="1"/>
        <v>3299382</v>
      </c>
    </row>
    <row r="63" spans="1:7" ht="12.75">
      <c r="A63" s="11">
        <v>3000</v>
      </c>
      <c r="B63" s="12" t="s">
        <v>366</v>
      </c>
      <c r="C63" s="405">
        <v>8710460</v>
      </c>
      <c r="D63" s="405">
        <v>2943570</v>
      </c>
      <c r="E63" s="405">
        <f t="shared" si="0"/>
        <v>5766890</v>
      </c>
      <c r="F63" s="405">
        <f>'- 15 -'!I63+'- 16 -'!C63</f>
        <v>276808</v>
      </c>
      <c r="G63" s="405">
        <f t="shared" si="1"/>
        <v>5490082</v>
      </c>
    </row>
    <row r="64" spans="3:7" ht="4.5" customHeight="1">
      <c r="C64" s="412"/>
      <c r="D64" s="412"/>
      <c r="E64" s="412"/>
      <c r="F64" s="412"/>
      <c r="G64" s="412"/>
    </row>
    <row r="65" spans="1:7" ht="12.75">
      <c r="A65" s="17"/>
      <c r="B65" s="18" t="s">
        <v>167</v>
      </c>
      <c r="C65" s="407">
        <f>SUM(C11:C63)</f>
        <v>1319006844.12</v>
      </c>
      <c r="D65" s="407">
        <f>SUM(D11:D63)</f>
        <v>21445058.63</v>
      </c>
      <c r="E65" s="407">
        <f>SUM(E11:E63)</f>
        <v>1297561785.4899998</v>
      </c>
      <c r="F65" s="407">
        <f>SUM(F11:F63)</f>
        <v>16065779.05</v>
      </c>
      <c r="G65" s="407">
        <f>SUM(G11:G63)</f>
        <v>1281496006.4399998</v>
      </c>
    </row>
    <row r="66" spans="3:7" ht="4.5" customHeight="1">
      <c r="C66" s="412"/>
      <c r="D66" s="412"/>
      <c r="E66" s="412"/>
      <c r="F66" s="412"/>
      <c r="G66" s="412"/>
    </row>
    <row r="67" spans="1:7" ht="12.75">
      <c r="A67" s="13">
        <v>2155</v>
      </c>
      <c r="B67" s="14" t="s">
        <v>168</v>
      </c>
      <c r="C67" s="406">
        <v>1285933.47</v>
      </c>
      <c r="D67" s="406">
        <v>89336</v>
      </c>
      <c r="E67" s="406">
        <f>C67-D67</f>
        <v>1196597.47</v>
      </c>
      <c r="F67" s="406">
        <f>'- 15 -'!I67+'- 16 -'!C67</f>
        <v>6194.79</v>
      </c>
      <c r="G67" s="406">
        <f>E67-F67</f>
        <v>1190402.68</v>
      </c>
    </row>
    <row r="68" spans="1:7" ht="12.75">
      <c r="A68" s="11">
        <v>2408</v>
      </c>
      <c r="B68" s="12" t="s">
        <v>170</v>
      </c>
      <c r="C68" s="405">
        <v>2153066</v>
      </c>
      <c r="D68" s="405">
        <v>9142</v>
      </c>
      <c r="E68" s="405">
        <f>C68-D68</f>
        <v>2143924</v>
      </c>
      <c r="F68" s="405">
        <f>'- 15 -'!I68+'- 16 -'!C68</f>
        <v>3692</v>
      </c>
      <c r="G68" s="405">
        <f>E68-F68</f>
        <v>2140232</v>
      </c>
    </row>
    <row r="69" ht="6.75" customHeight="1"/>
    <row r="70" spans="1:7" ht="12" customHeight="1">
      <c r="A70" s="380" t="s">
        <v>354</v>
      </c>
      <c r="B70" s="268" t="s">
        <v>485</v>
      </c>
      <c r="C70" s="236"/>
      <c r="D70" s="236"/>
      <c r="E70" s="236"/>
      <c r="F70" s="236"/>
      <c r="G70" s="236"/>
    </row>
    <row r="71" spans="1:7" ht="12" customHeight="1">
      <c r="A71" s="380" t="s">
        <v>355</v>
      </c>
      <c r="B71" s="268" t="s">
        <v>316</v>
      </c>
      <c r="C71" s="236"/>
      <c r="D71" s="236"/>
      <c r="E71" s="236"/>
      <c r="F71" s="236"/>
      <c r="G71" s="236"/>
    </row>
    <row r="72" spans="1:7" ht="12" customHeight="1">
      <c r="A72" s="52"/>
      <c r="B72" s="268" t="s">
        <v>483</v>
      </c>
      <c r="C72" s="236"/>
      <c r="D72" s="236"/>
      <c r="E72" s="236"/>
      <c r="F72" s="236"/>
      <c r="G72" s="236"/>
    </row>
    <row r="73" spans="1:7" ht="12" customHeight="1">
      <c r="A73" s="380" t="s">
        <v>356</v>
      </c>
      <c r="B73" s="268" t="s">
        <v>484</v>
      </c>
      <c r="C73" s="236"/>
      <c r="D73" s="236"/>
      <c r="E73" s="236"/>
      <c r="F73" s="236"/>
      <c r="G73" s="236"/>
    </row>
    <row r="74" spans="1:7" ht="12" customHeight="1">
      <c r="A74" s="380" t="s">
        <v>357</v>
      </c>
      <c r="B74" s="268" t="s">
        <v>443</v>
      </c>
      <c r="C74" s="236"/>
      <c r="D74" s="236"/>
      <c r="E74" s="236"/>
      <c r="F74" s="236"/>
      <c r="G74" s="236"/>
    </row>
    <row r="75" spans="1:2" ht="12" customHeight="1">
      <c r="A75" s="380" t="s">
        <v>442</v>
      </c>
      <c r="B75" s="268" t="s">
        <v>301</v>
      </c>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79" customWidth="1"/>
    <col min="2" max="2" width="30.83203125" style="79" customWidth="1"/>
    <col min="3" max="3" width="15.83203125" style="79" customWidth="1"/>
    <col min="4" max="4" width="8.83203125" style="79" customWidth="1"/>
    <col min="5" max="5" width="15.83203125" style="79" customWidth="1"/>
    <col min="6" max="6" width="8.83203125" style="79" customWidth="1"/>
    <col min="7" max="7" width="17.83203125" style="79" customWidth="1"/>
    <col min="8" max="8" width="8.83203125" style="79" customWidth="1"/>
    <col min="9" max="9" width="16.83203125" style="79" customWidth="1"/>
    <col min="10" max="10" width="8.83203125" style="79" customWidth="1"/>
    <col min="11" max="16384" width="15.83203125" style="79" customWidth="1"/>
  </cols>
  <sheetData>
    <row r="1" spans="1:10" ht="6.75" customHeight="1">
      <c r="A1" s="15"/>
      <c r="B1" s="77"/>
      <c r="C1" s="139"/>
      <c r="D1" s="139"/>
      <c r="E1" s="139"/>
      <c r="F1" s="139"/>
      <c r="G1" s="139"/>
      <c r="H1" s="139"/>
      <c r="I1" s="139"/>
      <c r="J1" s="139"/>
    </row>
    <row r="2" spans="1:10" ht="12.75">
      <c r="A2" s="6"/>
      <c r="B2" s="80"/>
      <c r="C2" s="196" t="s">
        <v>0</v>
      </c>
      <c r="D2" s="196"/>
      <c r="E2" s="196"/>
      <c r="F2" s="196"/>
      <c r="G2" s="196"/>
      <c r="H2" s="211"/>
      <c r="I2" s="211"/>
      <c r="J2" s="216" t="s">
        <v>428</v>
      </c>
    </row>
    <row r="3" spans="1:10" ht="12.75">
      <c r="A3" s="7"/>
      <c r="B3" s="83"/>
      <c r="C3" s="199" t="str">
        <f>YEAR</f>
        <v>OPERATING FUND ACTUAL 2001/2002</v>
      </c>
      <c r="D3" s="199"/>
      <c r="E3" s="199"/>
      <c r="F3" s="199"/>
      <c r="G3" s="199"/>
      <c r="H3" s="212"/>
      <c r="I3" s="212"/>
      <c r="J3" s="217"/>
    </row>
    <row r="4" spans="1:10" ht="12.75">
      <c r="A4" s="8"/>
      <c r="C4" s="139"/>
      <c r="D4" s="139"/>
      <c r="E4" s="139"/>
      <c r="F4" s="139"/>
      <c r="G4" s="139"/>
      <c r="H4" s="139"/>
      <c r="I4" s="139"/>
      <c r="J4" s="139"/>
    </row>
    <row r="5" spans="1:10" ht="12.75">
      <c r="A5" s="8"/>
      <c r="C5" s="54"/>
      <c r="D5" s="139"/>
      <c r="E5" s="139"/>
      <c r="F5" s="139"/>
      <c r="G5" s="139"/>
      <c r="H5" s="139"/>
      <c r="I5" s="139"/>
      <c r="J5" s="139"/>
    </row>
    <row r="6" spans="1:10" ht="16.5">
      <c r="A6" s="8"/>
      <c r="C6" s="331" t="s">
        <v>19</v>
      </c>
      <c r="D6" s="218"/>
      <c r="E6" s="219"/>
      <c r="F6" s="219"/>
      <c r="G6" s="219"/>
      <c r="H6" s="219"/>
      <c r="I6" s="219"/>
      <c r="J6" s="220"/>
    </row>
    <row r="7" spans="3:10" ht="12.75">
      <c r="C7" s="64" t="s">
        <v>46</v>
      </c>
      <c r="D7" s="63"/>
      <c r="E7" s="64" t="s">
        <v>47</v>
      </c>
      <c r="F7" s="63"/>
      <c r="G7" s="64" t="s">
        <v>48</v>
      </c>
      <c r="H7" s="63"/>
      <c r="I7" s="234"/>
      <c r="J7" s="202"/>
    </row>
    <row r="8" spans="1:10" ht="12.75">
      <c r="A8" s="91"/>
      <c r="B8" s="43"/>
      <c r="C8" s="65" t="s">
        <v>77</v>
      </c>
      <c r="D8" s="67"/>
      <c r="E8" s="65" t="s">
        <v>78</v>
      </c>
      <c r="F8" s="67"/>
      <c r="G8" s="65" t="s">
        <v>79</v>
      </c>
      <c r="H8" s="67"/>
      <c r="I8" s="65" t="s">
        <v>346</v>
      </c>
      <c r="J8" s="67"/>
    </row>
    <row r="9" spans="1:10" ht="12.75">
      <c r="A9" s="49" t="s">
        <v>101</v>
      </c>
      <c r="B9" s="50" t="s">
        <v>102</v>
      </c>
      <c r="C9" s="221" t="s">
        <v>103</v>
      </c>
      <c r="D9" s="130" t="s">
        <v>104</v>
      </c>
      <c r="E9" s="130" t="s">
        <v>103</v>
      </c>
      <c r="F9" s="130" t="s">
        <v>104</v>
      </c>
      <c r="G9" s="130" t="s">
        <v>103</v>
      </c>
      <c r="H9" s="130" t="s">
        <v>104</v>
      </c>
      <c r="I9" s="130" t="s">
        <v>103</v>
      </c>
      <c r="J9" s="130" t="s">
        <v>104</v>
      </c>
    </row>
    <row r="10" spans="1:2" ht="4.5" customHeight="1">
      <c r="A10" s="74"/>
      <c r="B10" s="74"/>
    </row>
    <row r="11" spans="1:10" ht="12.75">
      <c r="A11" s="11">
        <v>1</v>
      </c>
      <c r="B11" s="12" t="s">
        <v>116</v>
      </c>
      <c r="C11" s="405">
        <v>0</v>
      </c>
      <c r="D11" s="351">
        <f>C11/'- 3 -'!E11</f>
        <v>0</v>
      </c>
      <c r="E11" s="405">
        <v>1586433</v>
      </c>
      <c r="F11" s="351">
        <f>E11/'- 3 -'!E11</f>
        <v>0.006581792241368612</v>
      </c>
      <c r="G11" s="405">
        <v>227039</v>
      </c>
      <c r="H11" s="351">
        <f>G11/'- 3 -'!E11</f>
        <v>0.0009419392616568669</v>
      </c>
      <c r="I11" s="405">
        <v>2865935</v>
      </c>
      <c r="J11" s="351">
        <f>I11/'- 3 -'!E11</f>
        <v>0.0118901893412875</v>
      </c>
    </row>
    <row r="12" spans="1:10" ht="12.75">
      <c r="A12" s="13">
        <v>2</v>
      </c>
      <c r="B12" s="14" t="s">
        <v>117</v>
      </c>
      <c r="C12" s="406">
        <v>344629</v>
      </c>
      <c r="D12" s="352">
        <f>C12/'- 3 -'!E12</f>
        <v>0.005735062476134346</v>
      </c>
      <c r="E12" s="406">
        <v>0</v>
      </c>
      <c r="F12" s="352">
        <f>E12/'- 3 -'!E12</f>
        <v>0</v>
      </c>
      <c r="G12" s="406">
        <v>159311</v>
      </c>
      <c r="H12" s="352">
        <f>G12/'- 3 -'!E12</f>
        <v>0.0026511365501319935</v>
      </c>
      <c r="I12" s="406">
        <v>0</v>
      </c>
      <c r="J12" s="352">
        <f>I12/'- 3 -'!E12</f>
        <v>0</v>
      </c>
    </row>
    <row r="13" spans="1:10" ht="12.75">
      <c r="A13" s="11">
        <v>3</v>
      </c>
      <c r="B13" s="12" t="s">
        <v>118</v>
      </c>
      <c r="C13" s="405">
        <v>0</v>
      </c>
      <c r="D13" s="351">
        <f>C13/'- 3 -'!E13</f>
        <v>0</v>
      </c>
      <c r="E13" s="405">
        <v>0</v>
      </c>
      <c r="F13" s="351">
        <f>E13/'- 3 -'!E13</f>
        <v>0</v>
      </c>
      <c r="G13" s="405">
        <v>108768</v>
      </c>
      <c r="H13" s="351">
        <f>G13/'- 3 -'!E13</f>
        <v>0.0025909233832931556</v>
      </c>
      <c r="I13" s="405">
        <v>15513</v>
      </c>
      <c r="J13" s="351">
        <f>I13/'- 3 -'!E13</f>
        <v>0.0003695295899991425</v>
      </c>
    </row>
    <row r="14" spans="1:10" ht="12.75">
      <c r="A14" s="13">
        <v>4</v>
      </c>
      <c r="B14" s="14" t="s">
        <v>119</v>
      </c>
      <c r="C14" s="406">
        <v>80908</v>
      </c>
      <c r="D14" s="352">
        <f>C14/'- 3 -'!E14</f>
        <v>0.0019465114226787851</v>
      </c>
      <c r="E14" s="406">
        <v>0</v>
      </c>
      <c r="F14" s="352">
        <f>E14/'- 3 -'!E14</f>
        <v>0</v>
      </c>
      <c r="G14" s="406">
        <v>0</v>
      </c>
      <c r="H14" s="352">
        <f>G14/'- 3 -'!E14</f>
        <v>0</v>
      </c>
      <c r="I14" s="406">
        <v>111701</v>
      </c>
      <c r="J14" s="352">
        <f>I14/'- 3 -'!E14</f>
        <v>0.00268733960083852</v>
      </c>
    </row>
    <row r="15" spans="1:10" ht="12.75">
      <c r="A15" s="11">
        <v>5</v>
      </c>
      <c r="B15" s="12" t="s">
        <v>120</v>
      </c>
      <c r="C15" s="405">
        <v>0</v>
      </c>
      <c r="D15" s="351">
        <f>C15/'- 3 -'!E15</f>
        <v>0</v>
      </c>
      <c r="E15" s="405">
        <v>0</v>
      </c>
      <c r="F15" s="351">
        <f>E15/'- 3 -'!E15</f>
        <v>0</v>
      </c>
      <c r="G15" s="405">
        <v>13964</v>
      </c>
      <c r="H15" s="351">
        <f>G15/'- 3 -'!E15</f>
        <v>0.00027784810423784814</v>
      </c>
      <c r="I15" s="405">
        <v>13413</v>
      </c>
      <c r="J15" s="351">
        <f>I15/'- 3 -'!E15</f>
        <v>0.0002668846048512072</v>
      </c>
    </row>
    <row r="16" spans="1:10" ht="12.75">
      <c r="A16" s="13">
        <v>6</v>
      </c>
      <c r="B16" s="14" t="s">
        <v>121</v>
      </c>
      <c r="C16" s="406">
        <v>153466</v>
      </c>
      <c r="D16" s="352">
        <f>C16/'- 3 -'!E16</f>
        <v>0.0026497941499853657</v>
      </c>
      <c r="E16" s="406">
        <v>10348</v>
      </c>
      <c r="F16" s="352">
        <f>E16/'- 3 -'!E16</f>
        <v>0.00017867195251097028</v>
      </c>
      <c r="G16" s="406">
        <v>51762</v>
      </c>
      <c r="H16" s="352">
        <f>G16/'- 3 -'!E16</f>
        <v>0.0008937396217503715</v>
      </c>
      <c r="I16" s="406">
        <v>41826</v>
      </c>
      <c r="J16" s="352">
        <f>I16/'- 3 -'!E16</f>
        <v>0.0007221813959918674</v>
      </c>
    </row>
    <row r="17" spans="1:10" ht="12.75">
      <c r="A17" s="11">
        <v>9</v>
      </c>
      <c r="B17" s="12" t="s">
        <v>122</v>
      </c>
      <c r="C17" s="405">
        <v>206471</v>
      </c>
      <c r="D17" s="351">
        <f>C17/'- 3 -'!E17</f>
        <v>0.0025327127082583993</v>
      </c>
      <c r="E17" s="405">
        <v>26650</v>
      </c>
      <c r="F17" s="351">
        <f>E17/'- 3 -'!E17</f>
        <v>0.0003269068957630192</v>
      </c>
      <c r="G17" s="405">
        <v>59147</v>
      </c>
      <c r="H17" s="351">
        <f>G17/'- 3 -'!E17</f>
        <v>0.0007255370417896922</v>
      </c>
      <c r="I17" s="405">
        <v>0</v>
      </c>
      <c r="J17" s="351">
        <f>I17/'- 3 -'!E17</f>
        <v>0</v>
      </c>
    </row>
    <row r="18" spans="1:10" ht="12.75">
      <c r="A18" s="13">
        <v>10</v>
      </c>
      <c r="B18" s="14" t="s">
        <v>123</v>
      </c>
      <c r="C18" s="406">
        <v>151236.87</v>
      </c>
      <c r="D18" s="352">
        <f>C18/'- 3 -'!E18</f>
        <v>0.002523937281940548</v>
      </c>
      <c r="E18" s="406">
        <v>0</v>
      </c>
      <c r="F18" s="352">
        <f>E18/'- 3 -'!E18</f>
        <v>0</v>
      </c>
      <c r="G18" s="406">
        <v>0</v>
      </c>
      <c r="H18" s="352">
        <f>G18/'- 3 -'!E18</f>
        <v>0</v>
      </c>
      <c r="I18" s="406">
        <v>0</v>
      </c>
      <c r="J18" s="352">
        <f>I18/'- 3 -'!E18</f>
        <v>0</v>
      </c>
    </row>
    <row r="19" spans="1:10" ht="12.75">
      <c r="A19" s="11">
        <v>11</v>
      </c>
      <c r="B19" s="12" t="s">
        <v>124</v>
      </c>
      <c r="C19" s="405">
        <v>229672</v>
      </c>
      <c r="D19" s="351">
        <f>C19/'- 3 -'!E19</f>
        <v>0.007104417070286655</v>
      </c>
      <c r="E19" s="405">
        <v>0</v>
      </c>
      <c r="F19" s="351">
        <f>E19/'- 3 -'!E19</f>
        <v>0</v>
      </c>
      <c r="G19" s="405">
        <v>120665</v>
      </c>
      <c r="H19" s="351">
        <f>G19/'- 3 -'!E19</f>
        <v>0.0037325163092851513</v>
      </c>
      <c r="I19" s="405">
        <v>0</v>
      </c>
      <c r="J19" s="351">
        <f>I19/'- 3 -'!E19</f>
        <v>0</v>
      </c>
    </row>
    <row r="20" spans="1:10" ht="12.75">
      <c r="A20" s="13">
        <v>12</v>
      </c>
      <c r="B20" s="14" t="s">
        <v>125</v>
      </c>
      <c r="C20" s="406">
        <v>160545</v>
      </c>
      <c r="D20" s="352">
        <f>C20/'- 3 -'!E20</f>
        <v>0.003099421375704081</v>
      </c>
      <c r="E20" s="406">
        <v>0</v>
      </c>
      <c r="F20" s="352">
        <f>E20/'- 3 -'!E20</f>
        <v>0</v>
      </c>
      <c r="G20" s="406">
        <v>0</v>
      </c>
      <c r="H20" s="352">
        <f>G20/'- 3 -'!E20</f>
        <v>0</v>
      </c>
      <c r="I20" s="406">
        <v>0</v>
      </c>
      <c r="J20" s="352">
        <f>I20/'- 3 -'!E20</f>
        <v>0</v>
      </c>
    </row>
    <row r="21" spans="1:10" ht="12.75">
      <c r="A21" s="11">
        <v>13</v>
      </c>
      <c r="B21" s="12" t="s">
        <v>126</v>
      </c>
      <c r="C21" s="405">
        <v>0</v>
      </c>
      <c r="D21" s="351">
        <f>C21/'- 3 -'!E21</f>
        <v>0</v>
      </c>
      <c r="E21" s="405">
        <v>0</v>
      </c>
      <c r="F21" s="351">
        <f>E21/'- 3 -'!E21</f>
        <v>0</v>
      </c>
      <c r="G21" s="405">
        <v>0</v>
      </c>
      <c r="H21" s="351">
        <f>G21/'- 3 -'!E21</f>
        <v>0</v>
      </c>
      <c r="I21" s="405">
        <v>77837</v>
      </c>
      <c r="J21" s="351">
        <f>I21/'- 3 -'!E21</f>
        <v>0.0039374549817073785</v>
      </c>
    </row>
    <row r="22" spans="1:10" ht="12.75">
      <c r="A22" s="13">
        <v>14</v>
      </c>
      <c r="B22" s="14" t="s">
        <v>127</v>
      </c>
      <c r="C22" s="406">
        <v>0</v>
      </c>
      <c r="D22" s="352">
        <f>C22/'- 3 -'!E22</f>
        <v>0</v>
      </c>
      <c r="E22" s="406">
        <v>0</v>
      </c>
      <c r="F22" s="352">
        <f>E22/'- 3 -'!E22</f>
        <v>0</v>
      </c>
      <c r="G22" s="406">
        <v>0</v>
      </c>
      <c r="H22" s="352">
        <f>G22/'- 3 -'!E22</f>
        <v>0</v>
      </c>
      <c r="I22" s="406">
        <v>10425</v>
      </c>
      <c r="J22" s="352">
        <f>I22/'- 3 -'!E22</f>
        <v>0.00045335381872756755</v>
      </c>
    </row>
    <row r="23" spans="1:10" ht="12.75">
      <c r="A23" s="11">
        <v>15</v>
      </c>
      <c r="B23" s="12" t="s">
        <v>128</v>
      </c>
      <c r="C23" s="405">
        <v>52969</v>
      </c>
      <c r="D23" s="351">
        <f>C23/'- 3 -'!E23</f>
        <v>0.0016559341537880732</v>
      </c>
      <c r="E23" s="405">
        <v>0</v>
      </c>
      <c r="F23" s="351">
        <f>E23/'- 3 -'!E23</f>
        <v>0</v>
      </c>
      <c r="G23" s="405">
        <v>0</v>
      </c>
      <c r="H23" s="351">
        <f>G23/'- 3 -'!E23</f>
        <v>0</v>
      </c>
      <c r="I23" s="405">
        <v>86086</v>
      </c>
      <c r="J23" s="351">
        <f>I23/'- 3 -'!E23</f>
        <v>0.002691248608865564</v>
      </c>
    </row>
    <row r="24" spans="1:10" ht="12.75">
      <c r="A24" s="13">
        <v>16</v>
      </c>
      <c r="B24" s="14" t="s">
        <v>129</v>
      </c>
      <c r="C24" s="406">
        <v>0</v>
      </c>
      <c r="D24" s="352">
        <f>C24/'- 3 -'!E24</f>
        <v>0</v>
      </c>
      <c r="E24" s="406">
        <v>0</v>
      </c>
      <c r="F24" s="352">
        <f>E24/'- 3 -'!E24</f>
        <v>0</v>
      </c>
      <c r="G24" s="406">
        <v>0</v>
      </c>
      <c r="H24" s="352">
        <f>G24/'- 3 -'!E24</f>
        <v>0</v>
      </c>
      <c r="I24" s="406">
        <v>0</v>
      </c>
      <c r="J24" s="352">
        <f>I24/'- 3 -'!E24</f>
        <v>0</v>
      </c>
    </row>
    <row r="25" spans="1:10" ht="12.75">
      <c r="A25" s="11">
        <v>17</v>
      </c>
      <c r="B25" s="12" t="s">
        <v>130</v>
      </c>
      <c r="C25" s="405">
        <v>0</v>
      </c>
      <c r="D25" s="351">
        <f>C25/'- 3 -'!E25</f>
        <v>0</v>
      </c>
      <c r="E25" s="405">
        <v>0</v>
      </c>
      <c r="F25" s="351">
        <f>E25/'- 3 -'!E25</f>
        <v>0</v>
      </c>
      <c r="G25" s="405">
        <v>2475</v>
      </c>
      <c r="H25" s="351">
        <f>G25/'- 3 -'!E25</f>
        <v>0.0005945365906764028</v>
      </c>
      <c r="I25" s="405">
        <v>7812.1</v>
      </c>
      <c r="J25" s="351">
        <f>I25/'- 3 -'!E25</f>
        <v>0.001876597696979041</v>
      </c>
    </row>
    <row r="26" spans="1:10" ht="12.75">
      <c r="A26" s="13">
        <v>18</v>
      </c>
      <c r="B26" s="14" t="s">
        <v>131</v>
      </c>
      <c r="C26" s="406">
        <v>0</v>
      </c>
      <c r="D26" s="352">
        <f>C26/'- 3 -'!E26</f>
        <v>0</v>
      </c>
      <c r="E26" s="406">
        <v>0</v>
      </c>
      <c r="F26" s="352">
        <f>E26/'- 3 -'!E26</f>
        <v>0</v>
      </c>
      <c r="G26" s="406">
        <v>0</v>
      </c>
      <c r="H26" s="352">
        <f>G26/'- 3 -'!E26</f>
        <v>0</v>
      </c>
      <c r="I26" s="406">
        <v>0</v>
      </c>
      <c r="J26" s="352">
        <f>I26/'- 3 -'!E26</f>
        <v>0</v>
      </c>
    </row>
    <row r="27" spans="1:10" ht="12.75">
      <c r="A27" s="11">
        <v>19</v>
      </c>
      <c r="B27" s="12" t="s">
        <v>132</v>
      </c>
      <c r="C27" s="405">
        <v>0</v>
      </c>
      <c r="D27" s="351">
        <f>C27/'- 3 -'!E27</f>
        <v>0</v>
      </c>
      <c r="E27" s="405">
        <v>0</v>
      </c>
      <c r="F27" s="351">
        <f>E27/'- 3 -'!E27</f>
        <v>0</v>
      </c>
      <c r="G27" s="405">
        <v>0</v>
      </c>
      <c r="H27" s="351">
        <f>G27/'- 3 -'!E27</f>
        <v>0</v>
      </c>
      <c r="I27" s="405">
        <v>4129</v>
      </c>
      <c r="J27" s="351">
        <f>I27/'- 3 -'!E27</f>
        <v>0.0002808950533589237</v>
      </c>
    </row>
    <row r="28" spans="1:10" ht="12.75">
      <c r="A28" s="13">
        <v>20</v>
      </c>
      <c r="B28" s="14" t="s">
        <v>133</v>
      </c>
      <c r="C28" s="406">
        <v>0</v>
      </c>
      <c r="D28" s="352">
        <f>C28/'- 3 -'!E28</f>
        <v>0</v>
      </c>
      <c r="E28" s="406">
        <v>0</v>
      </c>
      <c r="F28" s="352">
        <f>E28/'- 3 -'!E28</f>
        <v>0</v>
      </c>
      <c r="G28" s="406">
        <v>0</v>
      </c>
      <c r="H28" s="352">
        <f>G28/'- 3 -'!E28</f>
        <v>0</v>
      </c>
      <c r="I28" s="406">
        <v>17970</v>
      </c>
      <c r="J28" s="352">
        <f>I28/'- 3 -'!E28</f>
        <v>0.0023772668204856636</v>
      </c>
    </row>
    <row r="29" spans="1:10" ht="12.75">
      <c r="A29" s="11">
        <v>21</v>
      </c>
      <c r="B29" s="12" t="s">
        <v>134</v>
      </c>
      <c r="C29" s="405">
        <v>70894</v>
      </c>
      <c r="D29" s="351">
        <f>C29/'- 3 -'!E29</f>
        <v>0.003178319818577448</v>
      </c>
      <c r="E29" s="405">
        <v>0</v>
      </c>
      <c r="F29" s="351">
        <f>E29/'- 3 -'!E29</f>
        <v>0</v>
      </c>
      <c r="G29" s="405">
        <v>0</v>
      </c>
      <c r="H29" s="351">
        <f>G29/'- 3 -'!E29</f>
        <v>0</v>
      </c>
      <c r="I29" s="405">
        <v>9525</v>
      </c>
      <c r="J29" s="351">
        <f>I29/'- 3 -'!E29</f>
        <v>0.0004270248014211385</v>
      </c>
    </row>
    <row r="30" spans="1:10" ht="12.75">
      <c r="A30" s="13">
        <v>22</v>
      </c>
      <c r="B30" s="14" t="s">
        <v>135</v>
      </c>
      <c r="C30" s="406">
        <v>204489</v>
      </c>
      <c r="D30" s="352">
        <f>C30/'- 3 -'!E30</f>
        <v>0.017371242226163312</v>
      </c>
      <c r="E30" s="406">
        <v>0</v>
      </c>
      <c r="F30" s="352">
        <f>E30/'- 3 -'!E30</f>
        <v>0</v>
      </c>
      <c r="G30" s="406">
        <v>0</v>
      </c>
      <c r="H30" s="352">
        <f>G30/'- 3 -'!E30</f>
        <v>0</v>
      </c>
      <c r="I30" s="406">
        <v>4712</v>
      </c>
      <c r="J30" s="352">
        <f>I30/'- 3 -'!E30</f>
        <v>0.0004002821343430773</v>
      </c>
    </row>
    <row r="31" spans="1:10" ht="12.75">
      <c r="A31" s="11">
        <v>23</v>
      </c>
      <c r="B31" s="12" t="s">
        <v>136</v>
      </c>
      <c r="C31" s="405">
        <v>93386</v>
      </c>
      <c r="D31" s="351">
        <f>C31/'- 3 -'!E31</f>
        <v>0.009233051449054983</v>
      </c>
      <c r="E31" s="405">
        <v>0</v>
      </c>
      <c r="F31" s="351">
        <f>E31/'- 3 -'!E31</f>
        <v>0</v>
      </c>
      <c r="G31" s="405">
        <v>0</v>
      </c>
      <c r="H31" s="351">
        <f>G31/'- 3 -'!E31</f>
        <v>0</v>
      </c>
      <c r="I31" s="405">
        <v>2929</v>
      </c>
      <c r="J31" s="351">
        <f>I31/'- 3 -'!E31</f>
        <v>0.00028958952834774</v>
      </c>
    </row>
    <row r="32" spans="1:10" ht="12.75">
      <c r="A32" s="13">
        <v>24</v>
      </c>
      <c r="B32" s="14" t="s">
        <v>137</v>
      </c>
      <c r="C32" s="406">
        <v>0</v>
      </c>
      <c r="D32" s="352">
        <f>C32/'- 3 -'!E32</f>
        <v>0</v>
      </c>
      <c r="E32" s="406">
        <v>0</v>
      </c>
      <c r="F32" s="352">
        <f>E32/'- 3 -'!E32</f>
        <v>0</v>
      </c>
      <c r="G32" s="406">
        <v>0</v>
      </c>
      <c r="H32" s="352">
        <f>G32/'- 3 -'!E32</f>
        <v>0</v>
      </c>
      <c r="I32" s="406">
        <v>4340</v>
      </c>
      <c r="J32" s="352">
        <f>I32/'- 3 -'!E32</f>
        <v>0.0001909273017902954</v>
      </c>
    </row>
    <row r="33" spans="1:10" ht="12.75">
      <c r="A33" s="11">
        <v>25</v>
      </c>
      <c r="B33" s="12" t="s">
        <v>138</v>
      </c>
      <c r="C33" s="405">
        <v>0</v>
      </c>
      <c r="D33" s="351">
        <f>C33/'- 3 -'!E33</f>
        <v>0</v>
      </c>
      <c r="E33" s="405">
        <v>0</v>
      </c>
      <c r="F33" s="351">
        <f>E33/'- 3 -'!E33</f>
        <v>0</v>
      </c>
      <c r="G33" s="405">
        <v>0</v>
      </c>
      <c r="H33" s="351">
        <f>G33/'- 3 -'!E33</f>
        <v>0</v>
      </c>
      <c r="I33" s="405">
        <v>5171</v>
      </c>
      <c r="J33" s="351">
        <f>I33/'- 3 -'!E33</f>
        <v>0.0004920897360035158</v>
      </c>
    </row>
    <row r="34" spans="1:10" ht="12.75">
      <c r="A34" s="13">
        <v>26</v>
      </c>
      <c r="B34" s="14" t="s">
        <v>139</v>
      </c>
      <c r="C34" s="406">
        <v>0</v>
      </c>
      <c r="D34" s="352">
        <f>C34/'- 3 -'!E34</f>
        <v>0</v>
      </c>
      <c r="E34" s="406">
        <v>0</v>
      </c>
      <c r="F34" s="352">
        <f>E34/'- 3 -'!E34</f>
        <v>0</v>
      </c>
      <c r="G34" s="406">
        <v>0</v>
      </c>
      <c r="H34" s="352">
        <f>G34/'- 3 -'!E34</f>
        <v>0</v>
      </c>
      <c r="I34" s="406">
        <v>9275</v>
      </c>
      <c r="J34" s="352">
        <f>I34/'- 3 -'!E34</f>
        <v>0.0005718471538566019</v>
      </c>
    </row>
    <row r="35" spans="1:10" ht="12.75">
      <c r="A35" s="11">
        <v>28</v>
      </c>
      <c r="B35" s="12" t="s">
        <v>140</v>
      </c>
      <c r="C35" s="405">
        <v>0</v>
      </c>
      <c r="D35" s="351">
        <f>C35/'- 3 -'!E35</f>
        <v>0</v>
      </c>
      <c r="E35" s="405">
        <v>0</v>
      </c>
      <c r="F35" s="351">
        <f>E35/'- 3 -'!E35</f>
        <v>0</v>
      </c>
      <c r="G35" s="405">
        <v>0</v>
      </c>
      <c r="H35" s="351">
        <f>G35/'- 3 -'!E35</f>
        <v>0</v>
      </c>
      <c r="I35" s="405">
        <v>3080</v>
      </c>
      <c r="J35" s="351">
        <f>I35/'- 3 -'!E35</f>
        <v>0.00048354844174159706</v>
      </c>
    </row>
    <row r="36" spans="1:10" ht="12.75">
      <c r="A36" s="13">
        <v>30</v>
      </c>
      <c r="B36" s="14" t="s">
        <v>141</v>
      </c>
      <c r="C36" s="406">
        <v>0</v>
      </c>
      <c r="D36" s="352">
        <f>C36/'- 3 -'!E36</f>
        <v>0</v>
      </c>
      <c r="E36" s="406">
        <v>0</v>
      </c>
      <c r="F36" s="352">
        <f>E36/'- 3 -'!E36</f>
        <v>0</v>
      </c>
      <c r="G36" s="406">
        <v>0</v>
      </c>
      <c r="H36" s="352">
        <f>G36/'- 3 -'!E36</f>
        <v>0</v>
      </c>
      <c r="I36" s="406">
        <v>5004</v>
      </c>
      <c r="J36" s="352">
        <f>I36/'- 3 -'!E36</f>
        <v>0.0005416201065316094</v>
      </c>
    </row>
    <row r="37" spans="1:10" ht="12.75">
      <c r="A37" s="11">
        <v>31</v>
      </c>
      <c r="B37" s="12" t="s">
        <v>142</v>
      </c>
      <c r="C37" s="405">
        <v>2931</v>
      </c>
      <c r="D37" s="351">
        <f>C37/'- 3 -'!E37</f>
        <v>0.00027241974538466483</v>
      </c>
      <c r="E37" s="405">
        <v>0</v>
      </c>
      <c r="F37" s="351">
        <f>E37/'- 3 -'!E37</f>
        <v>0</v>
      </c>
      <c r="G37" s="405">
        <v>0</v>
      </c>
      <c r="H37" s="351">
        <f>G37/'- 3 -'!E37</f>
        <v>0</v>
      </c>
      <c r="I37" s="405">
        <v>0</v>
      </c>
      <c r="J37" s="351">
        <f>I37/'- 3 -'!E37</f>
        <v>0</v>
      </c>
    </row>
    <row r="38" spans="1:10" ht="12.75">
      <c r="A38" s="13">
        <v>32</v>
      </c>
      <c r="B38" s="14" t="s">
        <v>143</v>
      </c>
      <c r="C38" s="406">
        <v>0</v>
      </c>
      <c r="D38" s="352">
        <f>C38/'- 3 -'!E38</f>
        <v>0</v>
      </c>
      <c r="E38" s="406">
        <v>0</v>
      </c>
      <c r="F38" s="352">
        <f>E38/'- 3 -'!E38</f>
        <v>0</v>
      </c>
      <c r="G38" s="406">
        <v>0</v>
      </c>
      <c r="H38" s="352">
        <f>G38/'- 3 -'!E38</f>
        <v>0</v>
      </c>
      <c r="I38" s="406">
        <v>0</v>
      </c>
      <c r="J38" s="352">
        <f>I38/'- 3 -'!E38</f>
        <v>0</v>
      </c>
    </row>
    <row r="39" spans="1:10" ht="12.75">
      <c r="A39" s="11">
        <v>33</v>
      </c>
      <c r="B39" s="12" t="s">
        <v>144</v>
      </c>
      <c r="C39" s="405">
        <v>0</v>
      </c>
      <c r="D39" s="351">
        <f>C39/'- 3 -'!E39</f>
        <v>0</v>
      </c>
      <c r="E39" s="405">
        <v>0</v>
      </c>
      <c r="F39" s="351">
        <f>E39/'- 3 -'!E39</f>
        <v>0</v>
      </c>
      <c r="G39" s="405">
        <v>0</v>
      </c>
      <c r="H39" s="351">
        <f>G39/'- 3 -'!E39</f>
        <v>0</v>
      </c>
      <c r="I39" s="405">
        <v>1900</v>
      </c>
      <c r="J39" s="351">
        <f>I39/'- 3 -'!E39</f>
        <v>0.0001461423233937324</v>
      </c>
    </row>
    <row r="40" spans="1:10" ht="12.75">
      <c r="A40" s="13">
        <v>34</v>
      </c>
      <c r="B40" s="14" t="s">
        <v>145</v>
      </c>
      <c r="C40" s="406">
        <v>0</v>
      </c>
      <c r="D40" s="352">
        <f>C40/'- 3 -'!E40</f>
        <v>0</v>
      </c>
      <c r="E40" s="406">
        <v>0</v>
      </c>
      <c r="F40" s="352">
        <f>E40/'- 3 -'!E40</f>
        <v>0</v>
      </c>
      <c r="G40" s="406">
        <v>0</v>
      </c>
      <c r="H40" s="352">
        <f>G40/'- 3 -'!E40</f>
        <v>0</v>
      </c>
      <c r="I40" s="406">
        <v>5102</v>
      </c>
      <c r="J40" s="352">
        <f>I40/'- 3 -'!E40</f>
        <v>0.000881383892947755</v>
      </c>
    </row>
    <row r="41" spans="1:10" ht="12.75">
      <c r="A41" s="11">
        <v>35</v>
      </c>
      <c r="B41" s="12" t="s">
        <v>146</v>
      </c>
      <c r="C41" s="405">
        <v>2291</v>
      </c>
      <c r="D41" s="351">
        <f>C41/'- 3 -'!E41</f>
        <v>0.00016459751768996376</v>
      </c>
      <c r="E41" s="405">
        <v>0</v>
      </c>
      <c r="F41" s="351">
        <f>E41/'- 3 -'!E41</f>
        <v>0</v>
      </c>
      <c r="G41" s="405">
        <v>0</v>
      </c>
      <c r="H41" s="351">
        <f>G41/'- 3 -'!E41</f>
        <v>0</v>
      </c>
      <c r="I41" s="405">
        <v>48880</v>
      </c>
      <c r="J41" s="351">
        <f>I41/'- 3 -'!E41</f>
        <v>0.003511796885502151</v>
      </c>
    </row>
    <row r="42" spans="1:10" ht="12.75">
      <c r="A42" s="13">
        <v>36</v>
      </c>
      <c r="B42" s="14" t="s">
        <v>147</v>
      </c>
      <c r="C42" s="406">
        <v>0</v>
      </c>
      <c r="D42" s="352">
        <f>C42/'- 3 -'!E42</f>
        <v>0</v>
      </c>
      <c r="E42" s="406">
        <v>0</v>
      </c>
      <c r="F42" s="352">
        <f>E42/'- 3 -'!E42</f>
        <v>0</v>
      </c>
      <c r="G42" s="406">
        <v>0</v>
      </c>
      <c r="H42" s="352">
        <f>G42/'- 3 -'!E42</f>
        <v>0</v>
      </c>
      <c r="I42" s="406">
        <v>22534</v>
      </c>
      <c r="J42" s="352">
        <f>I42/'- 3 -'!E42</f>
        <v>0.002811944857239741</v>
      </c>
    </row>
    <row r="43" spans="1:10" ht="12.75">
      <c r="A43" s="11">
        <v>37</v>
      </c>
      <c r="B43" s="12" t="s">
        <v>148</v>
      </c>
      <c r="C43" s="405">
        <v>0</v>
      </c>
      <c r="D43" s="351">
        <f>C43/'- 3 -'!E43</f>
        <v>0</v>
      </c>
      <c r="E43" s="405">
        <v>0</v>
      </c>
      <c r="F43" s="351">
        <f>E43/'- 3 -'!E43</f>
        <v>0</v>
      </c>
      <c r="G43" s="405">
        <v>0</v>
      </c>
      <c r="H43" s="351">
        <f>G43/'- 3 -'!E43</f>
        <v>0</v>
      </c>
      <c r="I43" s="405">
        <v>5471</v>
      </c>
      <c r="J43" s="351">
        <f>I43/'- 3 -'!E43</f>
        <v>0.0007960818003311777</v>
      </c>
    </row>
    <row r="44" spans="1:10" ht="12.75">
      <c r="A44" s="13">
        <v>38</v>
      </c>
      <c r="B44" s="14" t="s">
        <v>149</v>
      </c>
      <c r="C44" s="406">
        <v>0</v>
      </c>
      <c r="D44" s="352">
        <f>C44/'- 3 -'!E44</f>
        <v>0</v>
      </c>
      <c r="E44" s="406">
        <v>0</v>
      </c>
      <c r="F44" s="352">
        <f>E44/'- 3 -'!E44</f>
        <v>0</v>
      </c>
      <c r="G44" s="406">
        <v>0</v>
      </c>
      <c r="H44" s="352">
        <f>G44/'- 3 -'!E44</f>
        <v>0</v>
      </c>
      <c r="I44" s="406">
        <v>0</v>
      </c>
      <c r="J44" s="352">
        <f>I44/'- 3 -'!E44</f>
        <v>0</v>
      </c>
    </row>
    <row r="45" spans="1:10" ht="12.75">
      <c r="A45" s="11">
        <v>39</v>
      </c>
      <c r="B45" s="12" t="s">
        <v>150</v>
      </c>
      <c r="C45" s="405">
        <v>0</v>
      </c>
      <c r="D45" s="351">
        <f>C45/'- 3 -'!E45</f>
        <v>0</v>
      </c>
      <c r="E45" s="405">
        <v>0</v>
      </c>
      <c r="F45" s="351">
        <f>E45/'- 3 -'!E45</f>
        <v>0</v>
      </c>
      <c r="G45" s="405">
        <v>0</v>
      </c>
      <c r="H45" s="351">
        <f>G45/'- 3 -'!E45</f>
        <v>0</v>
      </c>
      <c r="I45" s="405">
        <v>6239</v>
      </c>
      <c r="J45" s="351">
        <f>I45/'- 3 -'!E45</f>
        <v>0.0004181043821480754</v>
      </c>
    </row>
    <row r="46" spans="1:10" ht="12.75">
      <c r="A46" s="13">
        <v>40</v>
      </c>
      <c r="B46" s="14" t="s">
        <v>151</v>
      </c>
      <c r="C46" s="406">
        <v>0</v>
      </c>
      <c r="D46" s="352">
        <f>C46/'- 3 -'!E46</f>
        <v>0</v>
      </c>
      <c r="E46" s="406">
        <v>0</v>
      </c>
      <c r="F46" s="352">
        <f>E46/'- 3 -'!E46</f>
        <v>0</v>
      </c>
      <c r="G46" s="406">
        <v>33562</v>
      </c>
      <c r="H46" s="352">
        <f>G46/'- 3 -'!E46</f>
        <v>0.0007491657824053544</v>
      </c>
      <c r="I46" s="406">
        <v>19840</v>
      </c>
      <c r="J46" s="352">
        <f>I46/'- 3 -'!E46</f>
        <v>0.00044286541692754394</v>
      </c>
    </row>
    <row r="47" spans="1:10" ht="12.75">
      <c r="A47" s="11">
        <v>41</v>
      </c>
      <c r="B47" s="12" t="s">
        <v>152</v>
      </c>
      <c r="C47" s="405">
        <v>423</v>
      </c>
      <c r="D47" s="351">
        <f>C47/'- 3 -'!E47</f>
        <v>3.446455564880992E-05</v>
      </c>
      <c r="E47" s="405">
        <v>0</v>
      </c>
      <c r="F47" s="351">
        <f>E47/'- 3 -'!E47</f>
        <v>0</v>
      </c>
      <c r="G47" s="405">
        <v>0</v>
      </c>
      <c r="H47" s="351">
        <f>G47/'- 3 -'!E47</f>
        <v>0</v>
      </c>
      <c r="I47" s="405">
        <v>44161</v>
      </c>
      <c r="J47" s="351">
        <f>I47/'- 3 -'!E47</f>
        <v>0.0035980833144375773</v>
      </c>
    </row>
    <row r="48" spans="1:10" ht="12.75">
      <c r="A48" s="13">
        <v>42</v>
      </c>
      <c r="B48" s="14" t="s">
        <v>153</v>
      </c>
      <c r="C48" s="406">
        <v>0</v>
      </c>
      <c r="D48" s="352">
        <f>C48/'- 3 -'!E48</f>
        <v>0</v>
      </c>
      <c r="E48" s="406">
        <v>0</v>
      </c>
      <c r="F48" s="352">
        <f>E48/'- 3 -'!E48</f>
        <v>0</v>
      </c>
      <c r="G48" s="406">
        <v>0</v>
      </c>
      <c r="H48" s="352">
        <f>G48/'- 3 -'!E48</f>
        <v>0</v>
      </c>
      <c r="I48" s="406">
        <v>5085</v>
      </c>
      <c r="J48" s="352">
        <f>I48/'- 3 -'!E48</f>
        <v>0.0006578942261339651</v>
      </c>
    </row>
    <row r="49" spans="1:10" ht="12.75">
      <c r="A49" s="11">
        <v>43</v>
      </c>
      <c r="B49" s="12" t="s">
        <v>154</v>
      </c>
      <c r="C49" s="405">
        <v>0</v>
      </c>
      <c r="D49" s="351">
        <f>C49/'- 3 -'!E49</f>
        <v>0</v>
      </c>
      <c r="E49" s="405">
        <v>0</v>
      </c>
      <c r="F49" s="351">
        <f>E49/'- 3 -'!E49</f>
        <v>0</v>
      </c>
      <c r="G49" s="405">
        <v>0</v>
      </c>
      <c r="H49" s="351">
        <f>G49/'- 3 -'!E49</f>
        <v>0</v>
      </c>
      <c r="I49" s="405">
        <v>22272</v>
      </c>
      <c r="J49" s="351">
        <f>I49/'- 3 -'!E49</f>
        <v>0.003502740447750631</v>
      </c>
    </row>
    <row r="50" spans="1:10" ht="12.75">
      <c r="A50" s="13">
        <v>44</v>
      </c>
      <c r="B50" s="14" t="s">
        <v>155</v>
      </c>
      <c r="C50" s="406">
        <v>0</v>
      </c>
      <c r="D50" s="352">
        <f>C50/'- 3 -'!E50</f>
        <v>0</v>
      </c>
      <c r="E50" s="406">
        <v>0</v>
      </c>
      <c r="F50" s="352">
        <f>E50/'- 3 -'!E50</f>
        <v>0</v>
      </c>
      <c r="G50" s="406">
        <v>0</v>
      </c>
      <c r="H50" s="352">
        <f>G50/'- 3 -'!E50</f>
        <v>0</v>
      </c>
      <c r="I50" s="406">
        <v>5692</v>
      </c>
      <c r="J50" s="352">
        <f>I50/'- 3 -'!E50</f>
        <v>0.0006152812425481464</v>
      </c>
    </row>
    <row r="51" spans="1:10" ht="12.75">
      <c r="A51" s="11">
        <v>45</v>
      </c>
      <c r="B51" s="12" t="s">
        <v>156</v>
      </c>
      <c r="C51" s="405">
        <v>0</v>
      </c>
      <c r="D51" s="351">
        <f>C51/'- 3 -'!E51</f>
        <v>0</v>
      </c>
      <c r="E51" s="405">
        <v>0</v>
      </c>
      <c r="F51" s="351">
        <f>E51/'- 3 -'!E51</f>
        <v>0</v>
      </c>
      <c r="G51" s="405">
        <v>21389</v>
      </c>
      <c r="H51" s="351">
        <f>G51/'- 3 -'!E51</f>
        <v>0.0017736362802612334</v>
      </c>
      <c r="I51" s="405">
        <v>0</v>
      </c>
      <c r="J51" s="351">
        <f>I51/'- 3 -'!E51</f>
        <v>0</v>
      </c>
    </row>
    <row r="52" spans="1:10" ht="12.75">
      <c r="A52" s="13">
        <v>46</v>
      </c>
      <c r="B52" s="14" t="s">
        <v>157</v>
      </c>
      <c r="C52" s="406">
        <v>0</v>
      </c>
      <c r="D52" s="352">
        <f>C52/'- 3 -'!E52</f>
        <v>0</v>
      </c>
      <c r="E52" s="406">
        <v>0</v>
      </c>
      <c r="F52" s="352">
        <f>E52/'- 3 -'!E52</f>
        <v>0</v>
      </c>
      <c r="G52" s="406">
        <v>0</v>
      </c>
      <c r="H52" s="352">
        <f>G52/'- 3 -'!E52</f>
        <v>0</v>
      </c>
      <c r="I52" s="406">
        <v>5000</v>
      </c>
      <c r="J52" s="352">
        <f>I52/'- 3 -'!E52</f>
        <v>0.00045707308699948515</v>
      </c>
    </row>
    <row r="53" spans="1:10" ht="12.75">
      <c r="A53" s="11">
        <v>47</v>
      </c>
      <c r="B53" s="12" t="s">
        <v>158</v>
      </c>
      <c r="C53" s="405">
        <v>0</v>
      </c>
      <c r="D53" s="351">
        <f>C53/'- 3 -'!E53</f>
        <v>0</v>
      </c>
      <c r="E53" s="405">
        <v>0</v>
      </c>
      <c r="F53" s="351">
        <f>E53/'- 3 -'!E53</f>
        <v>0</v>
      </c>
      <c r="G53" s="405">
        <v>0</v>
      </c>
      <c r="H53" s="351">
        <f>G53/'- 3 -'!E53</f>
        <v>0</v>
      </c>
      <c r="I53" s="405">
        <v>10895</v>
      </c>
      <c r="J53" s="351">
        <f>I53/'- 3 -'!E53</f>
        <v>0.0011830514496533697</v>
      </c>
    </row>
    <row r="54" spans="1:10" ht="12.75">
      <c r="A54" s="13">
        <v>48</v>
      </c>
      <c r="B54" s="14" t="s">
        <v>159</v>
      </c>
      <c r="C54" s="406">
        <v>13585</v>
      </c>
      <c r="D54" s="352">
        <f>C54/'- 3 -'!E54</f>
        <v>0.000228725655975837</v>
      </c>
      <c r="E54" s="406">
        <v>0</v>
      </c>
      <c r="F54" s="352">
        <f>E54/'- 3 -'!E54</f>
        <v>0</v>
      </c>
      <c r="G54" s="406">
        <v>0</v>
      </c>
      <c r="H54" s="352">
        <f>G54/'- 3 -'!E54</f>
        <v>0</v>
      </c>
      <c r="I54" s="406">
        <v>651096</v>
      </c>
      <c r="J54" s="352">
        <f>I54/'- 3 -'!E54</f>
        <v>0.010962264240209317</v>
      </c>
    </row>
    <row r="55" spans="1:10" ht="12.75">
      <c r="A55" s="11">
        <v>49</v>
      </c>
      <c r="B55" s="12" t="s">
        <v>160</v>
      </c>
      <c r="C55" s="405">
        <v>0</v>
      </c>
      <c r="D55" s="351">
        <f>C55/'- 3 -'!E55</f>
        <v>0</v>
      </c>
      <c r="E55" s="405">
        <v>0</v>
      </c>
      <c r="F55" s="351">
        <f>E55/'- 3 -'!E55</f>
        <v>0</v>
      </c>
      <c r="G55" s="405">
        <v>0</v>
      </c>
      <c r="H55" s="351">
        <f>G55/'- 3 -'!E55</f>
        <v>0</v>
      </c>
      <c r="I55" s="405">
        <v>157934</v>
      </c>
      <c r="J55" s="351">
        <f>I55/'- 3 -'!E55</f>
        <v>0.004359991754515575</v>
      </c>
    </row>
    <row r="56" spans="1:10" ht="12.75">
      <c r="A56" s="13">
        <v>50</v>
      </c>
      <c r="B56" s="14" t="s">
        <v>343</v>
      </c>
      <c r="C56" s="406">
        <v>0</v>
      </c>
      <c r="D56" s="352">
        <f>C56/'- 3 -'!E56</f>
        <v>0</v>
      </c>
      <c r="E56" s="406">
        <v>0</v>
      </c>
      <c r="F56" s="352">
        <f>E56/'- 3 -'!E56</f>
        <v>0</v>
      </c>
      <c r="G56" s="406">
        <v>0</v>
      </c>
      <c r="H56" s="352">
        <f>G56/'- 3 -'!E56</f>
        <v>0</v>
      </c>
      <c r="I56" s="406">
        <v>5540</v>
      </c>
      <c r="J56" s="352">
        <f>I56/'- 3 -'!E56</f>
        <v>0.0003843422038681476</v>
      </c>
    </row>
    <row r="57" spans="1:10" ht="12.75">
      <c r="A57" s="11">
        <v>2264</v>
      </c>
      <c r="B57" s="12" t="s">
        <v>161</v>
      </c>
      <c r="C57" s="405">
        <v>0</v>
      </c>
      <c r="D57" s="351">
        <f>C57/'- 3 -'!E57</f>
        <v>0</v>
      </c>
      <c r="E57" s="405">
        <v>0</v>
      </c>
      <c r="F57" s="351">
        <f>E57/'- 3 -'!E57</f>
        <v>0</v>
      </c>
      <c r="G57" s="405">
        <v>0</v>
      </c>
      <c r="H57" s="351">
        <f>G57/'- 3 -'!E57</f>
        <v>0</v>
      </c>
      <c r="I57" s="405">
        <v>0</v>
      </c>
      <c r="J57" s="351">
        <f>I57/'- 3 -'!E57</f>
        <v>0</v>
      </c>
    </row>
    <row r="58" spans="1:10" ht="12.75">
      <c r="A58" s="13">
        <v>2309</v>
      </c>
      <c r="B58" s="14" t="s">
        <v>162</v>
      </c>
      <c r="C58" s="406">
        <v>0</v>
      </c>
      <c r="D58" s="352">
        <f>C58/'- 3 -'!E58</f>
        <v>0</v>
      </c>
      <c r="E58" s="406">
        <v>0</v>
      </c>
      <c r="F58" s="352">
        <f>E58/'- 3 -'!E58</f>
        <v>0</v>
      </c>
      <c r="G58" s="406">
        <v>0</v>
      </c>
      <c r="H58" s="352">
        <f>G58/'- 3 -'!E58</f>
        <v>0</v>
      </c>
      <c r="I58" s="406">
        <v>0</v>
      </c>
      <c r="J58" s="352">
        <f>I58/'- 3 -'!E58</f>
        <v>0</v>
      </c>
    </row>
    <row r="59" spans="1:10" ht="12.75">
      <c r="A59" s="11">
        <v>2312</v>
      </c>
      <c r="B59" s="12" t="s">
        <v>163</v>
      </c>
      <c r="C59" s="405">
        <v>0</v>
      </c>
      <c r="D59" s="351">
        <f>C59/'- 3 -'!E59</f>
        <v>0</v>
      </c>
      <c r="E59" s="405">
        <v>0</v>
      </c>
      <c r="F59" s="351">
        <f>E59/'- 3 -'!E59</f>
        <v>0</v>
      </c>
      <c r="G59" s="405">
        <v>0</v>
      </c>
      <c r="H59" s="351">
        <f>G59/'- 3 -'!E59</f>
        <v>0</v>
      </c>
      <c r="I59" s="405">
        <v>6500</v>
      </c>
      <c r="J59" s="351">
        <f>I59/'- 3 -'!E59</f>
        <v>0.0032267784886067415</v>
      </c>
    </row>
    <row r="60" spans="1:10" ht="12.75">
      <c r="A60" s="13">
        <v>2355</v>
      </c>
      <c r="B60" s="14" t="s">
        <v>164</v>
      </c>
      <c r="C60" s="406">
        <v>0</v>
      </c>
      <c r="D60" s="352">
        <f>C60/'- 3 -'!E60</f>
        <v>0</v>
      </c>
      <c r="E60" s="406">
        <v>0</v>
      </c>
      <c r="F60" s="352">
        <f>E60/'- 3 -'!E60</f>
        <v>0</v>
      </c>
      <c r="G60" s="406">
        <v>1069</v>
      </c>
      <c r="H60" s="352">
        <f>G60/'- 3 -'!E60</f>
        <v>4.2974693264840404E-05</v>
      </c>
      <c r="I60" s="406">
        <v>7453</v>
      </c>
      <c r="J60" s="352">
        <f>I60/'- 3 -'!E60</f>
        <v>0.00029961682778564596</v>
      </c>
    </row>
    <row r="61" spans="1:10" ht="12.75">
      <c r="A61" s="11">
        <v>2439</v>
      </c>
      <c r="B61" s="12" t="s">
        <v>165</v>
      </c>
      <c r="C61" s="405">
        <v>0</v>
      </c>
      <c r="D61" s="351">
        <f>C61/'- 3 -'!E61</f>
        <v>0</v>
      </c>
      <c r="E61" s="405">
        <v>0</v>
      </c>
      <c r="F61" s="351">
        <f>E61/'- 3 -'!E61</f>
        <v>0</v>
      </c>
      <c r="G61" s="405">
        <v>0</v>
      </c>
      <c r="H61" s="351">
        <f>G61/'- 3 -'!E61</f>
        <v>0</v>
      </c>
      <c r="I61" s="405">
        <v>0</v>
      </c>
      <c r="J61" s="351">
        <f>I61/'- 3 -'!E61</f>
        <v>0</v>
      </c>
    </row>
    <row r="62" spans="1:10" ht="12.75">
      <c r="A62" s="13">
        <v>2460</v>
      </c>
      <c r="B62" s="14" t="s">
        <v>166</v>
      </c>
      <c r="C62" s="406">
        <v>0</v>
      </c>
      <c r="D62" s="352">
        <f>C62/'- 3 -'!E62</f>
        <v>0</v>
      </c>
      <c r="E62" s="406">
        <v>0</v>
      </c>
      <c r="F62" s="352">
        <f>E62/'- 3 -'!E62</f>
        <v>0</v>
      </c>
      <c r="G62" s="406">
        <v>0</v>
      </c>
      <c r="H62" s="352">
        <f>G62/'- 3 -'!E62</f>
        <v>0</v>
      </c>
      <c r="I62" s="406">
        <v>5134</v>
      </c>
      <c r="J62" s="352">
        <f>I62/'- 3 -'!E62</f>
        <v>0.0015536314546517555</v>
      </c>
    </row>
    <row r="63" spans="1:10" ht="12.75">
      <c r="A63" s="11">
        <v>3000</v>
      </c>
      <c r="B63" s="12" t="s">
        <v>366</v>
      </c>
      <c r="C63" s="405">
        <v>276808</v>
      </c>
      <c r="D63" s="351">
        <f>C63/'- 3 -'!E63</f>
        <v>0.04799952834196595</v>
      </c>
      <c r="E63" s="405">
        <v>0</v>
      </c>
      <c r="F63" s="351">
        <f>E63/'- 3 -'!E63</f>
        <v>0</v>
      </c>
      <c r="G63" s="405">
        <v>0</v>
      </c>
      <c r="H63" s="351">
        <f>G63/'- 3 -'!E63</f>
        <v>0</v>
      </c>
      <c r="I63" s="405">
        <v>0</v>
      </c>
      <c r="J63" s="351">
        <f>I63/'- 3 -'!E63</f>
        <v>0</v>
      </c>
    </row>
    <row r="64" spans="1:10" ht="4.5" customHeight="1">
      <c r="A64" s="15"/>
      <c r="B64" s="15"/>
      <c r="C64" s="412"/>
      <c r="D64" s="194"/>
      <c r="E64" s="412"/>
      <c r="F64" s="194"/>
      <c r="G64" s="412"/>
      <c r="H64" s="194"/>
      <c r="I64" s="412"/>
      <c r="J64" s="194"/>
    </row>
    <row r="65" spans="1:10" ht="12.75">
      <c r="A65" s="17"/>
      <c r="B65" s="18" t="s">
        <v>167</v>
      </c>
      <c r="C65" s="407">
        <f>SUM(C11:C63)</f>
        <v>2044703.87</v>
      </c>
      <c r="D65" s="100">
        <f>C65/'- 3 -'!E65</f>
        <v>0.0015758046305501022</v>
      </c>
      <c r="E65" s="407">
        <f>SUM(E11:E63)</f>
        <v>1623431</v>
      </c>
      <c r="F65" s="100">
        <f>E65/'- 3 -'!E65</f>
        <v>0.0012511396514247235</v>
      </c>
      <c r="G65" s="407">
        <f>SUM(G11:G63)</f>
        <v>799151</v>
      </c>
      <c r="H65" s="100">
        <f>G65/'- 3 -'!E65</f>
        <v>0.0006158866644629302</v>
      </c>
      <c r="I65" s="407">
        <f>SUM(I11:I63)</f>
        <v>4333411.1</v>
      </c>
      <c r="J65" s="100">
        <f>I65/'- 3 -'!E65</f>
        <v>0.003339656845984847</v>
      </c>
    </row>
    <row r="66" spans="1:10" ht="4.5" customHeight="1">
      <c r="A66" s="15"/>
      <c r="B66" s="15"/>
      <c r="C66" s="412"/>
      <c r="D66" s="194"/>
      <c r="E66" s="412"/>
      <c r="F66" s="194"/>
      <c r="G66" s="412"/>
      <c r="H66" s="194"/>
      <c r="I66" s="412"/>
      <c r="J66" s="194"/>
    </row>
    <row r="67" spans="1:10" ht="12.75">
      <c r="A67" s="13">
        <v>2155</v>
      </c>
      <c r="B67" s="14" t="s">
        <v>168</v>
      </c>
      <c r="C67" s="406">
        <v>0</v>
      </c>
      <c r="D67" s="352">
        <f>C67/'- 3 -'!E67</f>
        <v>0</v>
      </c>
      <c r="E67" s="406">
        <v>0</v>
      </c>
      <c r="F67" s="352">
        <f>E67/'- 3 -'!E67</f>
        <v>0</v>
      </c>
      <c r="G67" s="406">
        <v>250.79</v>
      </c>
      <c r="H67" s="352">
        <f>G67/'- 3 -'!E67</f>
        <v>0.00020958593536053523</v>
      </c>
      <c r="I67" s="406">
        <v>5944</v>
      </c>
      <c r="J67" s="352">
        <f>I67/'- 3 -'!E67</f>
        <v>0.004967418157753585</v>
      </c>
    </row>
    <row r="68" spans="1:10" ht="12.75">
      <c r="A68" s="11">
        <v>2408</v>
      </c>
      <c r="B68" s="12" t="s">
        <v>170</v>
      </c>
      <c r="C68" s="405">
        <v>3692</v>
      </c>
      <c r="D68" s="351">
        <f>C68/'- 3 -'!E68</f>
        <v>0.0017220759691108454</v>
      </c>
      <c r="E68" s="405">
        <v>0</v>
      </c>
      <c r="F68" s="351">
        <f>E68/'- 3 -'!E68</f>
        <v>0</v>
      </c>
      <c r="G68" s="405">
        <v>0</v>
      </c>
      <c r="H68" s="351">
        <f>G68/'- 3 -'!E68</f>
        <v>0</v>
      </c>
      <c r="I68" s="405">
        <v>0</v>
      </c>
      <c r="J68" s="351">
        <f>I68/'- 3 -'!E68</f>
        <v>0</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0</v>
      </c>
      <c r="D2" s="196"/>
      <c r="E2" s="196"/>
      <c r="F2" s="196"/>
      <c r="G2" s="196"/>
      <c r="H2" s="211"/>
      <c r="I2" s="211"/>
      <c r="J2" s="227"/>
      <c r="K2" s="216" t="s">
        <v>429</v>
      </c>
    </row>
    <row r="3" spans="1:11" ht="12.75">
      <c r="A3" s="7"/>
      <c r="B3" s="83"/>
      <c r="C3" s="199" t="str">
        <f>YEAR</f>
        <v>OPERATING FUND ACTUAL 2001/2002</v>
      </c>
      <c r="D3" s="199"/>
      <c r="E3" s="199"/>
      <c r="F3" s="199"/>
      <c r="G3" s="199"/>
      <c r="H3" s="212"/>
      <c r="I3" s="212"/>
      <c r="J3" s="212"/>
      <c r="K3" s="217"/>
    </row>
    <row r="4" spans="1:11" ht="12.75">
      <c r="A4" s="8"/>
      <c r="C4" s="139"/>
      <c r="D4" s="139"/>
      <c r="E4" s="139"/>
      <c r="F4" s="139"/>
      <c r="G4" s="139"/>
      <c r="H4" s="139"/>
      <c r="I4" s="139"/>
      <c r="J4" s="139"/>
      <c r="K4" s="139"/>
    </row>
    <row r="5" spans="1:11" ht="16.5">
      <c r="A5" s="8"/>
      <c r="C5" s="331" t="s">
        <v>340</v>
      </c>
      <c r="D5" s="218"/>
      <c r="E5" s="230"/>
      <c r="F5" s="230"/>
      <c r="G5" s="230"/>
      <c r="H5" s="230"/>
      <c r="I5" s="230"/>
      <c r="J5" s="230"/>
      <c r="K5" s="231"/>
    </row>
    <row r="6" spans="1:11" ht="12.75">
      <c r="A6" s="8"/>
      <c r="C6" s="201"/>
      <c r="D6" s="62"/>
      <c r="E6" s="63"/>
      <c r="F6" s="64" t="s">
        <v>20</v>
      </c>
      <c r="G6" s="62"/>
      <c r="H6" s="63"/>
      <c r="I6" s="64" t="s">
        <v>18</v>
      </c>
      <c r="J6" s="62"/>
      <c r="K6" s="63"/>
    </row>
    <row r="7" spans="3:11" ht="12.75">
      <c r="C7" s="65" t="s">
        <v>49</v>
      </c>
      <c r="D7" s="66"/>
      <c r="E7" s="67"/>
      <c r="F7" s="65" t="s">
        <v>50</v>
      </c>
      <c r="G7" s="66"/>
      <c r="H7" s="67"/>
      <c r="I7" s="65" t="s">
        <v>51</v>
      </c>
      <c r="J7" s="66"/>
      <c r="K7" s="67"/>
    </row>
    <row r="8" spans="1:11" ht="12.75">
      <c r="A8" s="91"/>
      <c r="B8" s="43"/>
      <c r="C8" s="233"/>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529886</v>
      </c>
      <c r="D11" s="351">
        <f>C11/'- 3 -'!E11</f>
        <v>0.0021983907064526825</v>
      </c>
      <c r="E11" s="405">
        <f>C11/'- 7 -'!H11</f>
        <v>17.207834171719174</v>
      </c>
      <c r="F11" s="405">
        <v>1334837</v>
      </c>
      <c r="G11" s="351">
        <f>F11/'- 3 -'!E11</f>
        <v>0.005537970913421338</v>
      </c>
      <c r="H11" s="405">
        <f>F11/'- 7 -'!H11</f>
        <v>43.34829329756798</v>
      </c>
      <c r="I11" s="405">
        <v>3927176</v>
      </c>
      <c r="J11" s="351">
        <f>I11/'- 3 -'!E11</f>
        <v>0.016293065340477045</v>
      </c>
      <c r="K11" s="405">
        <f>I11/'- 7 -'!H11</f>
        <v>127.53345695329828</v>
      </c>
    </row>
    <row r="12" spans="1:11" ht="12.75">
      <c r="A12" s="13">
        <v>2</v>
      </c>
      <c r="B12" s="14" t="s">
        <v>117</v>
      </c>
      <c r="C12" s="406">
        <v>301167</v>
      </c>
      <c r="D12" s="352">
        <f>C12/'- 3 -'!E12</f>
        <v>0.005011799821692175</v>
      </c>
      <c r="E12" s="406">
        <f>C12/'- 7 -'!H12</f>
        <v>32.94369751484106</v>
      </c>
      <c r="F12" s="406">
        <v>597225</v>
      </c>
      <c r="G12" s="352">
        <f>F12/'- 3 -'!E12</f>
        <v>0.009938579421085674</v>
      </c>
      <c r="H12" s="406">
        <f>F12/'- 7 -'!H12</f>
        <v>65.32853781556729</v>
      </c>
      <c r="I12" s="406">
        <v>864083</v>
      </c>
      <c r="J12" s="352">
        <f>I12/'- 3 -'!E12</f>
        <v>0.014379434085830253</v>
      </c>
      <c r="K12" s="406">
        <f>I12/'- 7 -'!H12</f>
        <v>94.51928325386383</v>
      </c>
    </row>
    <row r="13" spans="1:11" ht="12.75">
      <c r="A13" s="11">
        <v>3</v>
      </c>
      <c r="B13" s="12" t="s">
        <v>118</v>
      </c>
      <c r="C13" s="405">
        <v>205359</v>
      </c>
      <c r="D13" s="351">
        <f>C13/'- 3 -'!E13</f>
        <v>0.004891782831988261</v>
      </c>
      <c r="E13" s="405">
        <f>C13/'- 7 -'!H13</f>
        <v>35.08311266763475</v>
      </c>
      <c r="F13" s="405">
        <v>450705</v>
      </c>
      <c r="G13" s="351">
        <f>F13/'- 3 -'!E13</f>
        <v>0.010736081599984754</v>
      </c>
      <c r="H13" s="405">
        <f>F13/'- 7 -'!H13</f>
        <v>76.99752284957718</v>
      </c>
      <c r="I13" s="405">
        <v>728263</v>
      </c>
      <c r="J13" s="351">
        <f>I13/'- 3 -'!E13</f>
        <v>0.017347690827147908</v>
      </c>
      <c r="K13" s="405">
        <f>I13/'- 7 -'!H13</f>
        <v>124.41496540531305</v>
      </c>
    </row>
    <row r="14" spans="1:11" ht="12.75">
      <c r="A14" s="13">
        <v>4</v>
      </c>
      <c r="B14" s="14" t="s">
        <v>119</v>
      </c>
      <c r="C14" s="406">
        <v>233723</v>
      </c>
      <c r="D14" s="352">
        <f>C14/'- 3 -'!E14</f>
        <v>0.005622985233138302</v>
      </c>
      <c r="E14" s="406">
        <f>C14/'- 7 -'!H14</f>
        <v>39.53499780100815</v>
      </c>
      <c r="F14" s="406">
        <v>356075</v>
      </c>
      <c r="G14" s="352">
        <f>F14/'- 3 -'!E14</f>
        <v>0.008566570114578885</v>
      </c>
      <c r="H14" s="406">
        <f>F14/'- 7 -'!H14</f>
        <v>60.23123245035353</v>
      </c>
      <c r="I14" s="406">
        <v>735042</v>
      </c>
      <c r="J14" s="352">
        <f>I14/'- 3 -'!E14</f>
        <v>0.017683883536222123</v>
      </c>
      <c r="K14" s="406">
        <f>I14/'- 7 -'!H14</f>
        <v>124.33472038972901</v>
      </c>
    </row>
    <row r="15" spans="1:11" ht="12.75">
      <c r="A15" s="11">
        <v>5</v>
      </c>
      <c r="B15" s="12" t="s">
        <v>120</v>
      </c>
      <c r="C15" s="405">
        <v>205021</v>
      </c>
      <c r="D15" s="351">
        <f>C15/'- 3 -'!E15</f>
        <v>0.004079396747274983</v>
      </c>
      <c r="E15" s="405">
        <f>C15/'- 7 -'!H15</f>
        <v>28.421059927637685</v>
      </c>
      <c r="F15" s="405">
        <v>858081</v>
      </c>
      <c r="G15" s="351">
        <f>F15/'- 3 -'!E15</f>
        <v>0.017073630702701015</v>
      </c>
      <c r="H15" s="405">
        <f>F15/'- 7 -'!H15</f>
        <v>118.95157824694677</v>
      </c>
      <c r="I15" s="405">
        <v>912635</v>
      </c>
      <c r="J15" s="351">
        <f>I15/'- 3 -'!E15</f>
        <v>0.01815911662926873</v>
      </c>
      <c r="K15" s="405">
        <f>I15/'- 7 -'!H15</f>
        <v>126.51413283058623</v>
      </c>
    </row>
    <row r="16" spans="1:11" ht="12.75">
      <c r="A16" s="13">
        <v>6</v>
      </c>
      <c r="B16" s="14" t="s">
        <v>121</v>
      </c>
      <c r="C16" s="406">
        <v>156121</v>
      </c>
      <c r="D16" s="352">
        <f>C16/'- 3 -'!E16</f>
        <v>0.0026956362483538067</v>
      </c>
      <c r="E16" s="406">
        <f>C16/'- 7 -'!H16</f>
        <v>17.773337887067395</v>
      </c>
      <c r="F16" s="406">
        <v>446326</v>
      </c>
      <c r="G16" s="352">
        <f>F16/'- 3 -'!E16</f>
        <v>0.007706410695439827</v>
      </c>
      <c r="H16" s="406">
        <f>F16/'- 7 -'!H16</f>
        <v>50.81124772313297</v>
      </c>
      <c r="I16" s="406">
        <v>1175770</v>
      </c>
      <c r="J16" s="352">
        <f>I16/'- 3 -'!E16</f>
        <v>0.020301229378027013</v>
      </c>
      <c r="K16" s="406">
        <f>I16/'- 7 -'!H16</f>
        <v>133.85359744990893</v>
      </c>
    </row>
    <row r="17" spans="1:11" ht="12.75">
      <c r="A17" s="11">
        <v>9</v>
      </c>
      <c r="B17" s="12" t="s">
        <v>122</v>
      </c>
      <c r="C17" s="405">
        <v>252670</v>
      </c>
      <c r="D17" s="351">
        <f>C17/'- 3 -'!E17</f>
        <v>0.0030994208387407907</v>
      </c>
      <c r="E17" s="405">
        <f>C17/'- 7 -'!H17</f>
        <v>20.154426603492144</v>
      </c>
      <c r="F17" s="405">
        <v>925146</v>
      </c>
      <c r="G17" s="351">
        <f>F17/'- 3 -'!E17</f>
        <v>0.01134846555300466</v>
      </c>
      <c r="H17" s="405">
        <f>F17/'- 7 -'!H17</f>
        <v>73.79501782765799</v>
      </c>
      <c r="I17" s="405">
        <v>1142713</v>
      </c>
      <c r="J17" s="351">
        <f>I17/'- 3 -'!E17</f>
        <v>0.014017289289983002</v>
      </c>
      <c r="K17" s="405">
        <f>I17/'- 7 -'!H17</f>
        <v>91.14942528735632</v>
      </c>
    </row>
    <row r="18" spans="1:11" ht="12.75">
      <c r="A18" s="13">
        <v>10</v>
      </c>
      <c r="B18" s="14" t="s">
        <v>123</v>
      </c>
      <c r="C18" s="406">
        <v>191882.82</v>
      </c>
      <c r="D18" s="352">
        <f>C18/'- 3 -'!E18</f>
        <v>0.0032022628024627026</v>
      </c>
      <c r="E18" s="406">
        <f>C18/'- 7 -'!H18</f>
        <v>22.399208544913325</v>
      </c>
      <c r="F18" s="406">
        <v>444592.37</v>
      </c>
      <c r="G18" s="352">
        <f>F18/'- 3 -'!E18</f>
        <v>0.007419640844916365</v>
      </c>
      <c r="H18" s="406">
        <f>F18/'- 7 -'!H18</f>
        <v>51.89895173057842</v>
      </c>
      <c r="I18" s="406">
        <v>1223205.96</v>
      </c>
      <c r="J18" s="352">
        <f>I18/'- 3 -'!E18</f>
        <v>0.020413640707691708</v>
      </c>
      <c r="K18" s="406">
        <f>I18/'- 7 -'!H18</f>
        <v>142.78946594291716</v>
      </c>
    </row>
    <row r="19" spans="1:11" ht="12.75">
      <c r="A19" s="11">
        <v>11</v>
      </c>
      <c r="B19" s="12" t="s">
        <v>124</v>
      </c>
      <c r="C19" s="405">
        <v>133391</v>
      </c>
      <c r="D19" s="351">
        <f>C19/'- 3 -'!E19</f>
        <v>0.0041261681764542795</v>
      </c>
      <c r="E19" s="405">
        <f>C19/'- 7 -'!H19</f>
        <v>28.287774361149403</v>
      </c>
      <c r="F19" s="405">
        <v>200071</v>
      </c>
      <c r="G19" s="351">
        <f>F19/'- 3 -'!E19</f>
        <v>0.006188772804997219</v>
      </c>
      <c r="H19" s="405">
        <f>F19/'- 7 -'!H19</f>
        <v>42.42837450959601</v>
      </c>
      <c r="I19" s="405">
        <v>448629</v>
      </c>
      <c r="J19" s="351">
        <f>I19/'- 3 -'!E19</f>
        <v>0.013877388300818697</v>
      </c>
      <c r="K19" s="405">
        <f>I19/'- 7 -'!H19</f>
        <v>95.1392217156187</v>
      </c>
    </row>
    <row r="20" spans="1:11" ht="12.75">
      <c r="A20" s="13">
        <v>12</v>
      </c>
      <c r="B20" s="14" t="s">
        <v>125</v>
      </c>
      <c r="C20" s="406">
        <v>179317</v>
      </c>
      <c r="D20" s="352">
        <f>C20/'- 3 -'!E20</f>
        <v>0.003461826545997251</v>
      </c>
      <c r="E20" s="406">
        <f>C20/'- 7 -'!H20</f>
        <v>23.230599818629358</v>
      </c>
      <c r="F20" s="406">
        <v>451508</v>
      </c>
      <c r="G20" s="352">
        <f>F20/'- 3 -'!E20</f>
        <v>0.008716643598376768</v>
      </c>
      <c r="H20" s="406">
        <f>F20/'- 7 -'!H20</f>
        <v>58.49306905039513</v>
      </c>
      <c r="I20" s="406">
        <v>916822</v>
      </c>
      <c r="J20" s="352">
        <f>I20/'- 3 -'!E20</f>
        <v>0.017699820639171367</v>
      </c>
      <c r="K20" s="406">
        <f>I20/'- 7 -'!H20</f>
        <v>118.77471175022671</v>
      </c>
    </row>
    <row r="21" spans="1:11" ht="12.75">
      <c r="A21" s="11">
        <v>13</v>
      </c>
      <c r="B21" s="12" t="s">
        <v>126</v>
      </c>
      <c r="C21" s="405">
        <v>132908</v>
      </c>
      <c r="D21" s="351">
        <f>C21/'- 3 -'!E21</f>
        <v>0.006723271281122914</v>
      </c>
      <c r="E21" s="405">
        <f>C21/'- 7 -'!H21</f>
        <v>49.700097225338425</v>
      </c>
      <c r="F21" s="405">
        <v>169925</v>
      </c>
      <c r="G21" s="351">
        <f>F21/'- 3 -'!E21</f>
        <v>0.008595809676203171</v>
      </c>
      <c r="H21" s="405">
        <f>F21/'- 7 -'!H21</f>
        <v>63.54236781093412</v>
      </c>
      <c r="I21" s="405">
        <v>328337</v>
      </c>
      <c r="J21" s="351">
        <f>I21/'- 3 -'!E21</f>
        <v>0.016609223843787088</v>
      </c>
      <c r="K21" s="405">
        <f>I21/'- 7 -'!H21</f>
        <v>122.77952284795454</v>
      </c>
    </row>
    <row r="22" spans="1:11" ht="12.75">
      <c r="A22" s="13">
        <v>14</v>
      </c>
      <c r="B22" s="14" t="s">
        <v>127</v>
      </c>
      <c r="C22" s="406">
        <v>125826</v>
      </c>
      <c r="D22" s="352">
        <f>C22/'- 3 -'!E22</f>
        <v>0.005471817515128529</v>
      </c>
      <c r="E22" s="406">
        <f>C22/'- 7 -'!H22</f>
        <v>35.7917792632627</v>
      </c>
      <c r="F22" s="406">
        <v>234004</v>
      </c>
      <c r="G22" s="352">
        <f>F22/'- 3 -'!E22</f>
        <v>0.010176173333095992</v>
      </c>
      <c r="H22" s="406">
        <f>F22/'- 7 -'!H22</f>
        <v>66.5635044801593</v>
      </c>
      <c r="I22" s="406">
        <v>460093</v>
      </c>
      <c r="J22" s="352">
        <f>I22/'- 3 -'!E22</f>
        <v>0.020008145661373884</v>
      </c>
      <c r="K22" s="406">
        <f>I22/'- 7 -'!H22</f>
        <v>130.87555113070687</v>
      </c>
    </row>
    <row r="23" spans="1:11" ht="12.75">
      <c r="A23" s="11">
        <v>15</v>
      </c>
      <c r="B23" s="12" t="s">
        <v>128</v>
      </c>
      <c r="C23" s="405">
        <v>124921</v>
      </c>
      <c r="D23" s="351">
        <f>C23/'- 3 -'!E23</f>
        <v>0.00390532104486322</v>
      </c>
      <c r="E23" s="405">
        <f>C23/'- 7 -'!H23</f>
        <v>20.841007674341007</v>
      </c>
      <c r="F23" s="405">
        <v>305876</v>
      </c>
      <c r="G23" s="351">
        <f>F23/'- 3 -'!E23</f>
        <v>0.009562395273161297</v>
      </c>
      <c r="H23" s="405">
        <f>F23/'- 7 -'!H23</f>
        <v>51.03036369703037</v>
      </c>
      <c r="I23" s="405">
        <v>480253</v>
      </c>
      <c r="J23" s="351">
        <f>I23/'- 3 -'!E23</f>
        <v>0.01501382592005104</v>
      </c>
      <c r="K23" s="405">
        <f>I23/'- 7 -'!H23</f>
        <v>80.1222889556223</v>
      </c>
    </row>
    <row r="24" spans="1:11" ht="12.75">
      <c r="A24" s="13">
        <v>16</v>
      </c>
      <c r="B24" s="14" t="s">
        <v>129</v>
      </c>
      <c r="C24" s="406">
        <v>52602</v>
      </c>
      <c r="D24" s="352">
        <f>C24/'- 3 -'!E24</f>
        <v>0.008511767005742507</v>
      </c>
      <c r="E24" s="406">
        <f>C24/'- 7 -'!H24</f>
        <v>62.561845861084684</v>
      </c>
      <c r="F24" s="406">
        <v>79293.1</v>
      </c>
      <c r="G24" s="352">
        <f>F24/'- 3 -'!E24</f>
        <v>0.012830774350082529</v>
      </c>
      <c r="H24" s="406">
        <f>F24/'- 7 -'!H24</f>
        <v>94.30673168411039</v>
      </c>
      <c r="I24" s="406">
        <v>132721</v>
      </c>
      <c r="J24" s="352">
        <f>I24/'- 3 -'!E24</f>
        <v>0.021476183962000517</v>
      </c>
      <c r="K24" s="406">
        <f>I24/'- 7 -'!H24</f>
        <v>157.85085632730733</v>
      </c>
    </row>
    <row r="25" spans="1:11" ht="12.75">
      <c r="A25" s="11">
        <v>17</v>
      </c>
      <c r="B25" s="12" t="s">
        <v>130</v>
      </c>
      <c r="C25" s="405">
        <v>57883</v>
      </c>
      <c r="D25" s="351">
        <f>C25/'- 3 -'!E25</f>
        <v>0.013904469284089787</v>
      </c>
      <c r="E25" s="405">
        <f>C25/'- 7 -'!H25</f>
        <v>118.61270491803279</v>
      </c>
      <c r="F25" s="405">
        <v>28104</v>
      </c>
      <c r="G25" s="351">
        <f>F25/'- 3 -'!E25</f>
        <v>0.006751053068432171</v>
      </c>
      <c r="H25" s="405">
        <f>F25/'- 7 -'!H25</f>
        <v>57.59016393442623</v>
      </c>
      <c r="I25" s="405">
        <v>100062</v>
      </c>
      <c r="J25" s="351">
        <f>I25/'- 3 -'!E25</f>
        <v>0.02403657387323726</v>
      </c>
      <c r="K25" s="405">
        <f>I25/'- 7 -'!H25</f>
        <v>205.04508196721312</v>
      </c>
    </row>
    <row r="26" spans="1:11" ht="12.75">
      <c r="A26" s="13">
        <v>18</v>
      </c>
      <c r="B26" s="14" t="s">
        <v>131</v>
      </c>
      <c r="C26" s="406">
        <v>89606</v>
      </c>
      <c r="D26" s="352">
        <f>C26/'- 3 -'!E26</f>
        <v>0.009330193590500616</v>
      </c>
      <c r="E26" s="406">
        <f>C26/'- 7 -'!H26</f>
        <v>60.93573614416865</v>
      </c>
      <c r="F26" s="406">
        <v>93109</v>
      </c>
      <c r="G26" s="352">
        <f>F26/'- 3 -'!E26</f>
        <v>0.009694942247370955</v>
      </c>
      <c r="H26" s="406">
        <f>F26/'- 7 -'!H26</f>
        <v>63.31791907514451</v>
      </c>
      <c r="I26" s="406">
        <v>198567</v>
      </c>
      <c r="J26" s="352">
        <f>I26/'- 3 -'!E26</f>
        <v>0.020675719825513198</v>
      </c>
      <c r="K26" s="406">
        <f>I26/'- 7 -'!H26</f>
        <v>135.0336620197212</v>
      </c>
    </row>
    <row r="27" spans="1:11" ht="12.75">
      <c r="A27" s="11">
        <v>19</v>
      </c>
      <c r="B27" s="12" t="s">
        <v>132</v>
      </c>
      <c r="C27" s="405">
        <v>56481.15</v>
      </c>
      <c r="D27" s="351">
        <f>C27/'- 3 -'!E27</f>
        <v>0.003842401463556157</v>
      </c>
      <c r="E27" s="405">
        <f>C27/'- 7 -'!H27</f>
        <v>30.390718321226796</v>
      </c>
      <c r="F27" s="405">
        <v>129761</v>
      </c>
      <c r="G27" s="351">
        <f>F27/'- 3 -'!E27</f>
        <v>0.008827615165635093</v>
      </c>
      <c r="H27" s="405">
        <f>F27/'- 7 -'!H27</f>
        <v>69.82028517621738</v>
      </c>
      <c r="I27" s="405">
        <v>548431.63</v>
      </c>
      <c r="J27" s="351">
        <f>I27/'- 3 -'!E27</f>
        <v>0.03730969531910184</v>
      </c>
      <c r="K27" s="405">
        <f>I27/'- 7 -'!H27</f>
        <v>295.0936938391176</v>
      </c>
    </row>
    <row r="28" spans="1:11" ht="12.75">
      <c r="A28" s="13">
        <v>20</v>
      </c>
      <c r="B28" s="14" t="s">
        <v>133</v>
      </c>
      <c r="C28" s="406">
        <v>90553</v>
      </c>
      <c r="D28" s="352">
        <f>C28/'- 3 -'!E28</f>
        <v>0.011979334579601464</v>
      </c>
      <c r="E28" s="406">
        <f>C28/'- 7 -'!H28</f>
        <v>94.8695652173913</v>
      </c>
      <c r="F28" s="406">
        <v>107548</v>
      </c>
      <c r="G28" s="352">
        <f>F28/'- 3 -'!E28</f>
        <v>0.014227617807990658</v>
      </c>
      <c r="H28" s="406">
        <f>F28/'- 7 -'!H28</f>
        <v>112.67469879518072</v>
      </c>
      <c r="I28" s="406">
        <v>249876</v>
      </c>
      <c r="J28" s="352">
        <f>I28/'- 3 -'!E28</f>
        <v>0.033056311855073774</v>
      </c>
      <c r="K28" s="406">
        <f>I28/'- 7 -'!H28</f>
        <v>261.7873232058669</v>
      </c>
    </row>
    <row r="29" spans="1:11" ht="12.75">
      <c r="A29" s="11">
        <v>21</v>
      </c>
      <c r="B29" s="12" t="s">
        <v>134</v>
      </c>
      <c r="C29" s="405">
        <v>139958</v>
      </c>
      <c r="D29" s="351">
        <f>C29/'- 3 -'!E29</f>
        <v>0.006274597076881859</v>
      </c>
      <c r="E29" s="405">
        <f>C29/'- 7 -'!H29</f>
        <v>40.786245082325514</v>
      </c>
      <c r="F29" s="405">
        <v>254600</v>
      </c>
      <c r="G29" s="351">
        <f>F29/'- 3 -'!E29</f>
        <v>0.011414227237986548</v>
      </c>
      <c r="H29" s="405">
        <f>F29/'- 7 -'!H29</f>
        <v>74.19495847297101</v>
      </c>
      <c r="I29" s="405">
        <v>328058</v>
      </c>
      <c r="J29" s="351">
        <f>I29/'- 3 -'!E29</f>
        <v>0.014707496304946548</v>
      </c>
      <c r="K29" s="405">
        <f>I29/'- 7 -'!H29</f>
        <v>95.60192335713245</v>
      </c>
    </row>
    <row r="30" spans="1:11" ht="12.75">
      <c r="A30" s="13">
        <v>22</v>
      </c>
      <c r="B30" s="14" t="s">
        <v>135</v>
      </c>
      <c r="C30" s="406">
        <v>105913</v>
      </c>
      <c r="D30" s="352">
        <f>C30/'- 3 -'!E30</f>
        <v>0.00899725842416773</v>
      </c>
      <c r="E30" s="406">
        <f>C30/'- 7 -'!H30</f>
        <v>59.990370999716795</v>
      </c>
      <c r="F30" s="406">
        <v>94663</v>
      </c>
      <c r="G30" s="352">
        <f>F30/'- 3 -'!E30</f>
        <v>0.008041576333471715</v>
      </c>
      <c r="H30" s="406">
        <f>F30/'- 7 -'!H30</f>
        <v>53.61823845935996</v>
      </c>
      <c r="I30" s="406">
        <v>257603</v>
      </c>
      <c r="J30" s="352">
        <f>I30/'- 3 -'!E30</f>
        <v>0.021883250987516922</v>
      </c>
      <c r="K30" s="406">
        <f>I30/'- 7 -'!H30</f>
        <v>145.9093741149816</v>
      </c>
    </row>
    <row r="31" spans="1:11" ht="12.75">
      <c r="A31" s="11">
        <v>23</v>
      </c>
      <c r="B31" s="12" t="s">
        <v>136</v>
      </c>
      <c r="C31" s="405">
        <v>61090</v>
      </c>
      <c r="D31" s="351">
        <f>C31/'- 3 -'!E31</f>
        <v>0.006039953665675464</v>
      </c>
      <c r="E31" s="405">
        <f>C31/'- 7 -'!H31</f>
        <v>42.48261474269819</v>
      </c>
      <c r="F31" s="405">
        <v>97350</v>
      </c>
      <c r="G31" s="351">
        <f>F31/'- 3 -'!E31</f>
        <v>0.00962497117946483</v>
      </c>
      <c r="H31" s="405">
        <f>F31/'- 7 -'!H31</f>
        <v>67.69819193324061</v>
      </c>
      <c r="I31" s="405">
        <v>168345</v>
      </c>
      <c r="J31" s="351">
        <f>I31/'- 3 -'!E31</f>
        <v>0.016644229822362678</v>
      </c>
      <c r="K31" s="405">
        <f>I31/'- 7 -'!H31</f>
        <v>117.06884561891516</v>
      </c>
    </row>
    <row r="32" spans="1:11" ht="12.75">
      <c r="A32" s="13">
        <v>24</v>
      </c>
      <c r="B32" s="14" t="s">
        <v>137</v>
      </c>
      <c r="C32" s="406">
        <v>110577</v>
      </c>
      <c r="D32" s="352">
        <f>C32/'- 3 -'!E32</f>
        <v>0.004864554896328455</v>
      </c>
      <c r="E32" s="406">
        <f>C32/'- 7 -'!H32</f>
        <v>30.947942905121746</v>
      </c>
      <c r="F32" s="406">
        <v>205617</v>
      </c>
      <c r="G32" s="352">
        <f>F32/'- 3 -'!E32</f>
        <v>0.009045598850740822</v>
      </c>
      <c r="H32" s="406">
        <f>F32/'- 7 -'!H32</f>
        <v>57.54743912678421</v>
      </c>
      <c r="I32" s="406">
        <v>405678</v>
      </c>
      <c r="J32" s="352">
        <f>I32/'- 3 -'!E32</f>
        <v>0.017846775561217387</v>
      </c>
      <c r="K32" s="406">
        <f>I32/'- 7 -'!H32</f>
        <v>113.53988245172124</v>
      </c>
    </row>
    <row r="33" spans="1:11" ht="12.75">
      <c r="A33" s="11">
        <v>25</v>
      </c>
      <c r="B33" s="12" t="s">
        <v>138</v>
      </c>
      <c r="C33" s="405">
        <v>130364</v>
      </c>
      <c r="D33" s="351">
        <f>C33/'- 3 -'!E33</f>
        <v>0.012405876299431894</v>
      </c>
      <c r="E33" s="405">
        <f>C33/'- 7 -'!H33</f>
        <v>89.34548694400658</v>
      </c>
      <c r="F33" s="405">
        <v>91905</v>
      </c>
      <c r="G33" s="351">
        <f>F33/'- 3 -'!E33</f>
        <v>0.008745988626455833</v>
      </c>
      <c r="H33" s="405">
        <f>F33/'- 7 -'!H33</f>
        <v>62.9874580220684</v>
      </c>
      <c r="I33" s="405">
        <v>216158</v>
      </c>
      <c r="J33" s="351">
        <f>I33/'- 3 -'!E33</f>
        <v>0.020570321631221803</v>
      </c>
      <c r="K33" s="405">
        <f>I33/'- 7 -'!H33</f>
        <v>148.14474676170244</v>
      </c>
    </row>
    <row r="34" spans="1:11" ht="12.75">
      <c r="A34" s="13">
        <v>26</v>
      </c>
      <c r="B34" s="14" t="s">
        <v>139</v>
      </c>
      <c r="C34" s="406">
        <v>119457</v>
      </c>
      <c r="D34" s="352">
        <f>C34/'- 3 -'!E34</f>
        <v>0.007365083068274728</v>
      </c>
      <c r="E34" s="406">
        <f>C34/'- 7 -'!H34</f>
        <v>42.016460905349795</v>
      </c>
      <c r="F34" s="406">
        <v>105855</v>
      </c>
      <c r="G34" s="352">
        <f>F34/'- 3 -'!E34</f>
        <v>0.006526456115524592</v>
      </c>
      <c r="H34" s="406">
        <f>F34/'- 7 -'!H34</f>
        <v>37.232246491505755</v>
      </c>
      <c r="I34" s="406">
        <v>269124</v>
      </c>
      <c r="J34" s="352">
        <f>I34/'- 3 -'!E34</f>
        <v>0.01659275400911096</v>
      </c>
      <c r="K34" s="406">
        <f>I34/'- 7 -'!H34</f>
        <v>94.65864725123984</v>
      </c>
    </row>
    <row r="35" spans="1:11" ht="12.75">
      <c r="A35" s="11">
        <v>28</v>
      </c>
      <c r="B35" s="12" t="s">
        <v>140</v>
      </c>
      <c r="C35" s="405">
        <v>99188</v>
      </c>
      <c r="D35" s="351">
        <f>C35/'- 3 -'!E35</f>
        <v>0.015572143779047249</v>
      </c>
      <c r="E35" s="405">
        <f>C35/'- 7 -'!H35</f>
        <v>112.54481913493397</v>
      </c>
      <c r="F35" s="405">
        <v>109932</v>
      </c>
      <c r="G35" s="351">
        <f>F35/'- 3 -'!E35</f>
        <v>0.017258911460239366</v>
      </c>
      <c r="H35" s="405">
        <f>F35/'- 7 -'!H35</f>
        <v>124.73562383697183</v>
      </c>
      <c r="I35" s="405">
        <v>139459</v>
      </c>
      <c r="J35" s="351">
        <f>I35/'- 3 -'!E35</f>
        <v>0.02189453965481863</v>
      </c>
      <c r="K35" s="405">
        <f>I35/'- 7 -'!H35</f>
        <v>158.23877819634185</v>
      </c>
    </row>
    <row r="36" spans="1:11" ht="12.75">
      <c r="A36" s="13">
        <v>30</v>
      </c>
      <c r="B36" s="14" t="s">
        <v>141</v>
      </c>
      <c r="C36" s="406">
        <v>94834</v>
      </c>
      <c r="D36" s="352">
        <f>C36/'- 3 -'!E36</f>
        <v>0.010264588565711162</v>
      </c>
      <c r="E36" s="406">
        <f>C36/'- 7 -'!H36</f>
        <v>72.8539602058846</v>
      </c>
      <c r="F36" s="406">
        <v>91430</v>
      </c>
      <c r="G36" s="352">
        <f>F36/'- 3 -'!E36</f>
        <v>0.009896148349357524</v>
      </c>
      <c r="H36" s="406">
        <f>F36/'- 7 -'!H36</f>
        <v>70.23891833755857</v>
      </c>
      <c r="I36" s="406">
        <v>174575</v>
      </c>
      <c r="J36" s="352">
        <f>I36/'- 3 -'!E36</f>
        <v>0.018895549579887233</v>
      </c>
      <c r="K36" s="406">
        <f>I36/'- 7 -'!H36</f>
        <v>134.11308289160328</v>
      </c>
    </row>
    <row r="37" spans="1:11" ht="12.75">
      <c r="A37" s="11">
        <v>31</v>
      </c>
      <c r="B37" s="12" t="s">
        <v>142</v>
      </c>
      <c r="C37" s="405">
        <v>116280</v>
      </c>
      <c r="D37" s="351">
        <f>C37/'- 3 -'!E37</f>
        <v>0.010807563286703797</v>
      </c>
      <c r="E37" s="405">
        <f>C37/'- 7 -'!H37</f>
        <v>70.43004239854633</v>
      </c>
      <c r="F37" s="405">
        <v>93831</v>
      </c>
      <c r="G37" s="351">
        <f>F37/'- 3 -'!E37</f>
        <v>0.008721056680037014</v>
      </c>
      <c r="H37" s="405">
        <f>F37/'- 7 -'!H37</f>
        <v>56.8328285887341</v>
      </c>
      <c r="I37" s="405">
        <v>225435</v>
      </c>
      <c r="J37" s="351">
        <f>I37/'- 3 -'!E37</f>
        <v>0.02095289843083996</v>
      </c>
      <c r="K37" s="405">
        <f>I37/'- 7 -'!H37</f>
        <v>136.54451847365235</v>
      </c>
    </row>
    <row r="38" spans="1:11" ht="12.75">
      <c r="A38" s="13">
        <v>32</v>
      </c>
      <c r="B38" s="14" t="s">
        <v>143</v>
      </c>
      <c r="C38" s="406">
        <v>82144</v>
      </c>
      <c r="D38" s="352">
        <f>C38/'- 3 -'!E38</f>
        <v>0.01294958137621676</v>
      </c>
      <c r="E38" s="406">
        <f>C38/'- 7 -'!H38</f>
        <v>99.08805790108565</v>
      </c>
      <c r="F38" s="406">
        <v>60935</v>
      </c>
      <c r="G38" s="352">
        <f>F38/'- 3 -'!E38</f>
        <v>0.009606091025026397</v>
      </c>
      <c r="H38" s="406">
        <f>F38/'- 7 -'!H38</f>
        <v>73.50422195416164</v>
      </c>
      <c r="I38" s="406">
        <v>155979</v>
      </c>
      <c r="J38" s="352">
        <f>I38/'- 3 -'!E38</f>
        <v>0.024589291408756746</v>
      </c>
      <c r="K38" s="406">
        <f>I38/'- 7 -'!H38</f>
        <v>188.15319662243667</v>
      </c>
    </row>
    <row r="39" spans="1:11" ht="12.75">
      <c r="A39" s="11">
        <v>33</v>
      </c>
      <c r="B39" s="12" t="s">
        <v>144</v>
      </c>
      <c r="C39" s="405">
        <v>123875</v>
      </c>
      <c r="D39" s="351">
        <f>C39/'- 3 -'!E39</f>
        <v>0.009528094900209791</v>
      </c>
      <c r="E39" s="405">
        <f>C39/'- 7 -'!H39</f>
        <v>65.09458749343142</v>
      </c>
      <c r="F39" s="405">
        <v>167698</v>
      </c>
      <c r="G39" s="351">
        <f>F39/'- 3 -'!E39</f>
        <v>0.012898829130780073</v>
      </c>
      <c r="H39" s="405">
        <f>F39/'- 7 -'!H39</f>
        <v>88.12296374146085</v>
      </c>
      <c r="I39" s="405">
        <v>237563</v>
      </c>
      <c r="J39" s="351">
        <f>I39/'- 3 -'!E39</f>
        <v>0.018272636195992238</v>
      </c>
      <c r="K39" s="405">
        <f>I39/'- 7 -'!H39</f>
        <v>124.83604834471886</v>
      </c>
    </row>
    <row r="40" spans="1:11" ht="12.75">
      <c r="A40" s="13">
        <v>34</v>
      </c>
      <c r="B40" s="14" t="s">
        <v>145</v>
      </c>
      <c r="C40" s="406">
        <v>86789.41</v>
      </c>
      <c r="D40" s="352">
        <f>C40/'- 3 -'!E40</f>
        <v>0.014993098403065234</v>
      </c>
      <c r="E40" s="406">
        <f>C40/'- 7 -'!H40</f>
        <v>118.40301500682129</v>
      </c>
      <c r="F40" s="406">
        <v>50974.24</v>
      </c>
      <c r="G40" s="352">
        <f>F40/'- 3 -'!E40</f>
        <v>0.008805933769355775</v>
      </c>
      <c r="H40" s="406">
        <f>F40/'- 7 -'!H40</f>
        <v>69.5419372442019</v>
      </c>
      <c r="I40" s="406">
        <v>102795.06</v>
      </c>
      <c r="J40" s="352">
        <f>I40/'- 3 -'!E40</f>
        <v>0.017758116456016868</v>
      </c>
      <c r="K40" s="406">
        <f>I40/'- 7 -'!H40</f>
        <v>140.238826739427</v>
      </c>
    </row>
    <row r="41" spans="1:11" ht="12.75">
      <c r="A41" s="11">
        <v>35</v>
      </c>
      <c r="B41" s="12" t="s">
        <v>146</v>
      </c>
      <c r="C41" s="405">
        <v>127481</v>
      </c>
      <c r="D41" s="351">
        <f>C41/'- 3 -'!E41</f>
        <v>0.009158907094122334</v>
      </c>
      <c r="E41" s="405">
        <f>C41/'- 7 -'!H41</f>
        <v>66.26520428318952</v>
      </c>
      <c r="F41" s="405">
        <v>116540</v>
      </c>
      <c r="G41" s="351">
        <f>F41/'- 3 -'!E41</f>
        <v>0.008372847975376855</v>
      </c>
      <c r="H41" s="405">
        <f>F41/'- 7 -'!H41</f>
        <v>60.57802266347853</v>
      </c>
      <c r="I41" s="405">
        <v>249560</v>
      </c>
      <c r="J41" s="351">
        <f>I41/'- 3 -'!E41</f>
        <v>0.017929706029990115</v>
      </c>
      <c r="K41" s="405">
        <f>I41/'- 7 -'!H41</f>
        <v>129.72242436843746</v>
      </c>
    </row>
    <row r="42" spans="1:11" ht="12.75">
      <c r="A42" s="13">
        <v>36</v>
      </c>
      <c r="B42" s="14" t="s">
        <v>147</v>
      </c>
      <c r="C42" s="406">
        <v>90831</v>
      </c>
      <c r="D42" s="352">
        <f>C42/'- 3 -'!E42</f>
        <v>0.011334506227387188</v>
      </c>
      <c r="E42" s="406">
        <f>C42/'- 7 -'!H42</f>
        <v>90.06544372830938</v>
      </c>
      <c r="F42" s="406">
        <v>149124</v>
      </c>
      <c r="G42" s="352">
        <f>F42/'- 3 -'!E42</f>
        <v>0.01860870084720951</v>
      </c>
      <c r="H42" s="406">
        <f>F42/'- 7 -'!H42</f>
        <v>147.86712940009915</v>
      </c>
      <c r="I42" s="406">
        <v>108611.53</v>
      </c>
      <c r="J42" s="352">
        <f>I42/'- 3 -'!E42</f>
        <v>0.01355328096300878</v>
      </c>
      <c r="K42" s="406">
        <f>I42/'- 7 -'!H42</f>
        <v>107.69611303916707</v>
      </c>
    </row>
    <row r="43" spans="1:11" ht="12.75">
      <c r="A43" s="11">
        <v>37</v>
      </c>
      <c r="B43" s="12" t="s">
        <v>148</v>
      </c>
      <c r="C43" s="405">
        <v>81365</v>
      </c>
      <c r="D43" s="351">
        <f>C43/'- 3 -'!E43</f>
        <v>0.011839370441225785</v>
      </c>
      <c r="E43" s="405">
        <f>C43/'- 7 -'!H43</f>
        <v>84.49117341640707</v>
      </c>
      <c r="F43" s="405">
        <v>82433</v>
      </c>
      <c r="G43" s="351">
        <f>F43/'- 3 -'!E43</f>
        <v>0.011994774455620538</v>
      </c>
      <c r="H43" s="405">
        <f>F43/'- 7 -'!H43</f>
        <v>85.60020768431984</v>
      </c>
      <c r="I43" s="405">
        <v>96876</v>
      </c>
      <c r="J43" s="351">
        <f>I43/'- 3 -'!E43</f>
        <v>0.014096366384369067</v>
      </c>
      <c r="K43" s="405">
        <f>I43/'- 7 -'!H43</f>
        <v>100.59813084112149</v>
      </c>
    </row>
    <row r="44" spans="1:11" ht="12.75">
      <c r="A44" s="13">
        <v>38</v>
      </c>
      <c r="B44" s="14" t="s">
        <v>149</v>
      </c>
      <c r="C44" s="406">
        <v>102133</v>
      </c>
      <c r="D44" s="352">
        <f>C44/'- 3 -'!E44</f>
        <v>0.011432344626317821</v>
      </c>
      <c r="E44" s="406">
        <f>C44/'- 7 -'!H44</f>
        <v>87.44263698630137</v>
      </c>
      <c r="F44" s="406">
        <v>94378</v>
      </c>
      <c r="G44" s="352">
        <f>F44/'- 3 -'!E44</f>
        <v>0.01056428207477136</v>
      </c>
      <c r="H44" s="406">
        <f>F44/'- 7 -'!H44</f>
        <v>80.80308219178082</v>
      </c>
      <c r="I44" s="406">
        <v>208940</v>
      </c>
      <c r="J44" s="352">
        <f>I44/'- 3 -'!E44</f>
        <v>0.023387877436507745</v>
      </c>
      <c r="K44" s="406">
        <f>I44/'- 7 -'!H44</f>
        <v>178.88698630136986</v>
      </c>
    </row>
    <row r="45" spans="1:11" ht="12.75">
      <c r="A45" s="11">
        <v>39</v>
      </c>
      <c r="B45" s="12" t="s">
        <v>150</v>
      </c>
      <c r="C45" s="405">
        <v>134690</v>
      </c>
      <c r="D45" s="351">
        <f>C45/'- 3 -'!E45</f>
        <v>0.009026202793961257</v>
      </c>
      <c r="E45" s="405">
        <f>C45/'- 7 -'!H45</f>
        <v>63.533018867924525</v>
      </c>
      <c r="F45" s="405">
        <v>142509</v>
      </c>
      <c r="G45" s="351">
        <f>F45/'- 3 -'!E45</f>
        <v>0.009550190318246526</v>
      </c>
      <c r="H45" s="405">
        <f>F45/'- 7 -'!H45</f>
        <v>67.22122641509434</v>
      </c>
      <c r="I45" s="405">
        <v>308194</v>
      </c>
      <c r="J45" s="351">
        <f>I45/'- 3 -'!E45</f>
        <v>0.020653512093563704</v>
      </c>
      <c r="K45" s="405">
        <f>I45/'- 7 -'!H45</f>
        <v>145.37452830188678</v>
      </c>
    </row>
    <row r="46" spans="1:11" ht="12.75">
      <c r="A46" s="13">
        <v>40</v>
      </c>
      <c r="B46" s="14" t="s">
        <v>151</v>
      </c>
      <c r="C46" s="406">
        <v>200513</v>
      </c>
      <c r="D46" s="352">
        <f>C46/'- 3 -'!E46</f>
        <v>0.0044758202290520474</v>
      </c>
      <c r="E46" s="406">
        <f>C46/'- 7 -'!H46</f>
        <v>27.092690177003107</v>
      </c>
      <c r="F46" s="406">
        <v>536525</v>
      </c>
      <c r="G46" s="352">
        <f>F46/'- 3 -'!E46</f>
        <v>0.011976228216585207</v>
      </c>
      <c r="H46" s="406">
        <f>F46/'- 7 -'!H46</f>
        <v>72.49358194838535</v>
      </c>
      <c r="I46" s="406">
        <v>775847</v>
      </c>
      <c r="J46" s="352">
        <f>I46/'- 3 -'!E46</f>
        <v>0.017318336951964927</v>
      </c>
      <c r="K46" s="406">
        <f>I46/'- 7 -'!H46</f>
        <v>104.83002296986893</v>
      </c>
    </row>
    <row r="47" spans="1:11" ht="12.75">
      <c r="A47" s="11">
        <v>41</v>
      </c>
      <c r="B47" s="12" t="s">
        <v>152</v>
      </c>
      <c r="C47" s="405">
        <v>141383</v>
      </c>
      <c r="D47" s="351">
        <f>C47/'- 3 -'!E47</f>
        <v>0.011519390712282964</v>
      </c>
      <c r="E47" s="405">
        <f>C47/'- 7 -'!H47</f>
        <v>85.39167723621429</v>
      </c>
      <c r="F47" s="405">
        <v>100438</v>
      </c>
      <c r="G47" s="351">
        <f>F47/'- 3 -'!E47</f>
        <v>0.008183335792565418</v>
      </c>
      <c r="H47" s="405">
        <f>F47/'- 7 -'!H47</f>
        <v>60.661955668297395</v>
      </c>
      <c r="I47" s="405">
        <v>295519</v>
      </c>
      <c r="J47" s="351">
        <f>I47/'- 3 -'!E47</f>
        <v>0.024077851112956645</v>
      </c>
      <c r="K47" s="405">
        <f>I47/'- 7 -'!H47</f>
        <v>178.4858368061847</v>
      </c>
    </row>
    <row r="48" spans="1:11" ht="12.75">
      <c r="A48" s="13">
        <v>42</v>
      </c>
      <c r="B48" s="14" t="s">
        <v>153</v>
      </c>
      <c r="C48" s="406">
        <v>105954</v>
      </c>
      <c r="D48" s="352">
        <f>C48/'- 3 -'!E48</f>
        <v>0.013708264471150077</v>
      </c>
      <c r="E48" s="406">
        <f>C48/'- 7 -'!H48</f>
        <v>100.240302743614</v>
      </c>
      <c r="F48" s="406">
        <v>92365</v>
      </c>
      <c r="G48" s="352">
        <f>F48/'- 3 -'!E48</f>
        <v>0.011950127865656576</v>
      </c>
      <c r="H48" s="406">
        <f>F48/'- 7 -'!H48</f>
        <v>87.3841059602649</v>
      </c>
      <c r="I48" s="406">
        <v>185950</v>
      </c>
      <c r="J48" s="352">
        <f>I48/'- 3 -'!E48</f>
        <v>0.024058098593827102</v>
      </c>
      <c r="K48" s="406">
        <f>I48/'- 7 -'!H48</f>
        <v>175.92242194891202</v>
      </c>
    </row>
    <row r="49" spans="1:11" ht="12.75">
      <c r="A49" s="11">
        <v>43</v>
      </c>
      <c r="B49" s="12" t="s">
        <v>154</v>
      </c>
      <c r="C49" s="405">
        <v>86916</v>
      </c>
      <c r="D49" s="351">
        <f>C49/'- 3 -'!E49</f>
        <v>0.013669369107250981</v>
      </c>
      <c r="E49" s="405">
        <f>C49/'- 7 -'!H49</f>
        <v>111.64547206165703</v>
      </c>
      <c r="F49" s="405">
        <v>91627</v>
      </c>
      <c r="G49" s="351">
        <f>F49/'- 3 -'!E49</f>
        <v>0.014410272943877832</v>
      </c>
      <c r="H49" s="405">
        <f>F49/'- 7 -'!H49</f>
        <v>117.69685292228645</v>
      </c>
      <c r="I49" s="405">
        <v>111988</v>
      </c>
      <c r="J49" s="351">
        <f>I49/'- 3 -'!E49</f>
        <v>0.017612468447499</v>
      </c>
      <c r="K49" s="405">
        <f>I49/'- 7 -'!H49</f>
        <v>143.8509955041747</v>
      </c>
    </row>
    <row r="50" spans="1:11" ht="12.75">
      <c r="A50" s="13">
        <v>44</v>
      </c>
      <c r="B50" s="14" t="s">
        <v>155</v>
      </c>
      <c r="C50" s="406">
        <v>91408</v>
      </c>
      <c r="D50" s="352">
        <f>C50/'- 3 -'!E50</f>
        <v>0.009880820066556741</v>
      </c>
      <c r="E50" s="406">
        <f>C50/'- 7 -'!H50</f>
        <v>73.50864495375954</v>
      </c>
      <c r="F50" s="406">
        <v>99401</v>
      </c>
      <c r="G50" s="352">
        <f>F50/'- 3 -'!E50</f>
        <v>0.010744829724267095</v>
      </c>
      <c r="H50" s="406">
        <f>F50/'- 7 -'!H50</f>
        <v>79.93646964213913</v>
      </c>
      <c r="I50" s="406">
        <v>203878</v>
      </c>
      <c r="J50" s="352">
        <f>I50/'- 3 -'!E50</f>
        <v>0.02203835368380727</v>
      </c>
      <c r="K50" s="406">
        <f>I50/'- 7 -'!H50</f>
        <v>163.95496582227582</v>
      </c>
    </row>
    <row r="51" spans="1:11" ht="12.75">
      <c r="A51" s="11">
        <v>45</v>
      </c>
      <c r="B51" s="12" t="s">
        <v>156</v>
      </c>
      <c r="C51" s="405">
        <v>63313</v>
      </c>
      <c r="D51" s="351">
        <f>C51/'- 3 -'!E51</f>
        <v>0.005250092749178525</v>
      </c>
      <c r="E51" s="405">
        <f>C51/'- 7 -'!H51</f>
        <v>33.60384268350937</v>
      </c>
      <c r="F51" s="405">
        <v>74146</v>
      </c>
      <c r="G51" s="351">
        <f>F51/'- 3 -'!E51</f>
        <v>0.006148395700418412</v>
      </c>
      <c r="H51" s="405">
        <f>F51/'- 7 -'!H51</f>
        <v>39.353537498009665</v>
      </c>
      <c r="I51" s="405">
        <v>349440</v>
      </c>
      <c r="J51" s="351">
        <f>I51/'- 3 -'!E51</f>
        <v>0.0289765515813963</v>
      </c>
      <c r="K51" s="405">
        <f>I51/'- 7 -'!H51</f>
        <v>185.46786263998726</v>
      </c>
    </row>
    <row r="52" spans="1:11" ht="12.75">
      <c r="A52" s="13">
        <v>46</v>
      </c>
      <c r="B52" s="14" t="s">
        <v>157</v>
      </c>
      <c r="C52" s="406">
        <v>83289</v>
      </c>
      <c r="D52" s="352">
        <f>C52/'- 3 -'!E52</f>
        <v>0.007613832068620024</v>
      </c>
      <c r="E52" s="406">
        <f>C52/'- 7 -'!H52</f>
        <v>57.944204814247946</v>
      </c>
      <c r="F52" s="406">
        <v>202434</v>
      </c>
      <c r="G52" s="352">
        <f>F52/'- 3 -'!E52</f>
        <v>0.018505426658730756</v>
      </c>
      <c r="H52" s="406">
        <f>F52/'- 7 -'!H52</f>
        <v>140.8334492834284</v>
      </c>
      <c r="I52" s="406">
        <v>317408</v>
      </c>
      <c r="J52" s="352">
        <f>I52/'- 3 -'!E52</f>
        <v>0.029015730879666517</v>
      </c>
      <c r="K52" s="406">
        <f>I52/'- 7 -'!H52</f>
        <v>220.82092667315985</v>
      </c>
    </row>
    <row r="53" spans="1:11" ht="12.75">
      <c r="A53" s="11">
        <v>47</v>
      </c>
      <c r="B53" s="12" t="s">
        <v>158</v>
      </c>
      <c r="C53" s="405">
        <v>103513</v>
      </c>
      <c r="D53" s="351">
        <f>C53/'- 3 -'!E53</f>
        <v>0.011240128931433618</v>
      </c>
      <c r="E53" s="405">
        <f>C53/'- 7 -'!H53</f>
        <v>71.56100933287244</v>
      </c>
      <c r="F53" s="405">
        <v>100553</v>
      </c>
      <c r="G53" s="351">
        <f>F53/'- 3 -'!E53</f>
        <v>0.010918712475171665</v>
      </c>
      <c r="H53" s="405">
        <f>F53/'- 7 -'!H53</f>
        <v>69.51469063256135</v>
      </c>
      <c r="I53" s="405">
        <v>165300</v>
      </c>
      <c r="J53" s="351">
        <f>I53/'- 3 -'!E53</f>
        <v>0.01794937169597999</v>
      </c>
      <c r="K53" s="405">
        <f>I53/'- 7 -'!H53</f>
        <v>114.27583823021085</v>
      </c>
    </row>
    <row r="54" spans="1:11" ht="12.75">
      <c r="A54" s="13">
        <v>48</v>
      </c>
      <c r="B54" s="14" t="s">
        <v>159</v>
      </c>
      <c r="C54" s="406">
        <v>584669</v>
      </c>
      <c r="D54" s="352">
        <f>C54/'- 3 -'!E54</f>
        <v>0.00984385723619703</v>
      </c>
      <c r="E54" s="406">
        <f>C54/'- 7 -'!H54</f>
        <v>111.84057998737495</v>
      </c>
      <c r="F54" s="406">
        <v>1146900</v>
      </c>
      <c r="G54" s="352">
        <f>F54/'- 3 -'!E54</f>
        <v>0.019309934106638754</v>
      </c>
      <c r="H54" s="406">
        <f>F54/'- 7 -'!H54</f>
        <v>219.3890238537024</v>
      </c>
      <c r="I54" s="406">
        <v>1460151</v>
      </c>
      <c r="J54" s="352">
        <f>I54/'- 3 -'!E54</f>
        <v>0.024584026153755937</v>
      </c>
      <c r="K54" s="406">
        <f>I54/'- 7 -'!H54</f>
        <v>279.31040419304856</v>
      </c>
    </row>
    <row r="55" spans="1:11" ht="12.75">
      <c r="A55" s="11">
        <v>49</v>
      </c>
      <c r="B55" s="12" t="s">
        <v>160</v>
      </c>
      <c r="C55" s="405">
        <v>589312</v>
      </c>
      <c r="D55" s="351">
        <f>C55/'- 3 -'!E55</f>
        <v>0.01626879241225501</v>
      </c>
      <c r="E55" s="405">
        <f>C55/'- 7 -'!H55</f>
        <v>138.3101764926774</v>
      </c>
      <c r="F55" s="405">
        <v>383349</v>
      </c>
      <c r="G55" s="351">
        <f>F55/'- 3 -'!E55</f>
        <v>0.010582892088478674</v>
      </c>
      <c r="H55" s="405">
        <f>F55/'- 7 -'!H55</f>
        <v>89.97113218174991</v>
      </c>
      <c r="I55" s="405">
        <v>506723</v>
      </c>
      <c r="J55" s="351">
        <f>I55/'- 3 -'!E55</f>
        <v>0.01398880609509919</v>
      </c>
      <c r="K55" s="405">
        <f>I55/'- 7 -'!H55</f>
        <v>118.92672737514081</v>
      </c>
    </row>
    <row r="56" spans="1:11" ht="12.75">
      <c r="A56" s="13">
        <v>50</v>
      </c>
      <c r="B56" s="14" t="s">
        <v>343</v>
      </c>
      <c r="C56" s="406">
        <v>131768</v>
      </c>
      <c r="D56" s="352">
        <f>C56/'- 3 -'!E56</f>
        <v>0.009141516880739725</v>
      </c>
      <c r="E56" s="406">
        <f>C56/'- 7 -'!H56</f>
        <v>74.77047040798956</v>
      </c>
      <c r="F56" s="406">
        <v>231134</v>
      </c>
      <c r="G56" s="352">
        <f>F56/'- 3 -'!E56</f>
        <v>0.0160351174997943</v>
      </c>
      <c r="H56" s="406">
        <f>F56/'- 7 -'!H56</f>
        <v>131.1547409635136</v>
      </c>
      <c r="I56" s="406">
        <v>178986</v>
      </c>
      <c r="J56" s="352">
        <f>I56/'- 3 -'!E56</f>
        <v>0.012417305722300409</v>
      </c>
      <c r="K56" s="406">
        <f>I56/'- 7 -'!H56</f>
        <v>101.56386540316632</v>
      </c>
    </row>
    <row r="57" spans="1:11" ht="12.75">
      <c r="A57" s="11">
        <v>2264</v>
      </c>
      <c r="B57" s="12" t="s">
        <v>161</v>
      </c>
      <c r="C57" s="405">
        <v>28994</v>
      </c>
      <c r="D57" s="351">
        <f>C57/'- 3 -'!E57</f>
        <v>0.013772298289778759</v>
      </c>
      <c r="E57" s="405">
        <f>C57/'- 7 -'!H57</f>
        <v>147.5521628498728</v>
      </c>
      <c r="F57" s="405">
        <v>56833</v>
      </c>
      <c r="G57" s="351">
        <f>F57/'- 3 -'!E57</f>
        <v>0.026995965672311384</v>
      </c>
      <c r="H57" s="405">
        <f>F57/'- 7 -'!H57</f>
        <v>289.2264631043257</v>
      </c>
      <c r="I57" s="405">
        <v>91073</v>
      </c>
      <c r="J57" s="351">
        <f>I57/'- 3 -'!E57</f>
        <v>0.043260140792750944</v>
      </c>
      <c r="K57" s="405">
        <f>I57/'- 7 -'!H57</f>
        <v>463.47582697201017</v>
      </c>
    </row>
    <row r="58" spans="1:11" ht="12.75">
      <c r="A58" s="13">
        <v>2309</v>
      </c>
      <c r="B58" s="14" t="s">
        <v>162</v>
      </c>
      <c r="C58" s="406">
        <v>38078</v>
      </c>
      <c r="D58" s="352">
        <f>C58/'- 3 -'!E58</f>
        <v>0.016810187650043662</v>
      </c>
      <c r="E58" s="406">
        <f>C58/'- 7 -'!H58</f>
        <v>146.06060606060606</v>
      </c>
      <c r="F58" s="406">
        <v>0</v>
      </c>
      <c r="G58" s="352">
        <f>F58/'- 3 -'!E58</f>
        <v>0</v>
      </c>
      <c r="H58" s="406">
        <f>F58/'- 7 -'!H58</f>
        <v>0</v>
      </c>
      <c r="I58" s="406">
        <v>207808</v>
      </c>
      <c r="J58" s="352">
        <f>I58/'- 3 -'!E58</f>
        <v>0.09174041376070889</v>
      </c>
      <c r="K58" s="406">
        <f>I58/'- 7 -'!H58</f>
        <v>797.1154583812812</v>
      </c>
    </row>
    <row r="59" spans="1:11" ht="12.75">
      <c r="A59" s="11">
        <v>2312</v>
      </c>
      <c r="B59" s="12" t="s">
        <v>163</v>
      </c>
      <c r="C59" s="405">
        <v>44807</v>
      </c>
      <c r="D59" s="351">
        <f>C59/'- 3 -'!E59</f>
        <v>0.022243425190615732</v>
      </c>
      <c r="E59" s="405">
        <f>C59/'- 7 -'!H59</f>
        <v>257.51149425287355</v>
      </c>
      <c r="F59" s="405">
        <v>171015</v>
      </c>
      <c r="G59" s="351">
        <f>F59/'- 3 -'!E59</f>
        <v>0.08489654203524337</v>
      </c>
      <c r="H59" s="405">
        <f>F59/'- 7 -'!H59</f>
        <v>982.8448275862069</v>
      </c>
      <c r="I59" s="405">
        <v>0</v>
      </c>
      <c r="J59" s="351">
        <f>I59/'- 3 -'!E59</f>
        <v>0</v>
      </c>
      <c r="K59" s="405">
        <f>I59/'- 7 -'!H59</f>
        <v>0</v>
      </c>
    </row>
    <row r="60" spans="1:11" ht="12.75">
      <c r="A60" s="13">
        <v>2355</v>
      </c>
      <c r="B60" s="14" t="s">
        <v>164</v>
      </c>
      <c r="C60" s="406">
        <v>141730</v>
      </c>
      <c r="D60" s="352">
        <f>C60/'- 3 -'!E60</f>
        <v>0.0056976644307070445</v>
      </c>
      <c r="E60" s="406">
        <f>C60/'- 7 -'!H60</f>
        <v>42.673049709451114</v>
      </c>
      <c r="F60" s="406">
        <v>216294</v>
      </c>
      <c r="G60" s="352">
        <f>F60/'- 3 -'!E60</f>
        <v>0.008695199536974172</v>
      </c>
      <c r="H60" s="406">
        <f>F60/'- 7 -'!H60</f>
        <v>65.12329509529401</v>
      </c>
      <c r="I60" s="406">
        <v>524790</v>
      </c>
      <c r="J60" s="352">
        <f>I60/'- 3 -'!E60</f>
        <v>0.021096996518667536</v>
      </c>
      <c r="K60" s="406">
        <f>I60/'- 7 -'!H60</f>
        <v>158.00740673832536</v>
      </c>
    </row>
    <row r="61" spans="1:11" ht="12.75">
      <c r="A61" s="11">
        <v>2439</v>
      </c>
      <c r="B61" s="12" t="s">
        <v>165</v>
      </c>
      <c r="C61" s="405">
        <v>32151.04</v>
      </c>
      <c r="D61" s="351">
        <f>C61/'- 3 -'!E61</f>
        <v>0.023011343008401373</v>
      </c>
      <c r="E61" s="405">
        <f>C61/'- 7 -'!H61</f>
        <v>205.4379552715655</v>
      </c>
      <c r="F61" s="405">
        <v>3260.71</v>
      </c>
      <c r="G61" s="351">
        <f>F61/'- 3 -'!E61</f>
        <v>0.00233377571179422</v>
      </c>
      <c r="H61" s="405">
        <f>F61/'- 7 -'!H61</f>
        <v>20.83520766773163</v>
      </c>
      <c r="I61" s="405">
        <v>43250.92</v>
      </c>
      <c r="J61" s="351">
        <f>I61/'- 3 -'!E61</f>
        <v>0.030955818398065105</v>
      </c>
      <c r="K61" s="405">
        <f>I61/'- 7 -'!H61</f>
        <v>276.36370607028755</v>
      </c>
    </row>
    <row r="62" spans="1:11" ht="12.75">
      <c r="A62" s="13">
        <v>2460</v>
      </c>
      <c r="B62" s="14" t="s">
        <v>166</v>
      </c>
      <c r="C62" s="406">
        <v>67193</v>
      </c>
      <c r="D62" s="352">
        <f>C62/'- 3 -'!E62</f>
        <v>0.020333688806469692</v>
      </c>
      <c r="E62" s="406">
        <f>C62/'- 7 -'!H62</f>
        <v>246.85157972079355</v>
      </c>
      <c r="F62" s="406">
        <v>0</v>
      </c>
      <c r="G62" s="352">
        <f>F62/'- 3 -'!E62</f>
        <v>0</v>
      </c>
      <c r="H62" s="406">
        <f>F62/'- 7 -'!H62</f>
        <v>0</v>
      </c>
      <c r="I62" s="406">
        <v>333156</v>
      </c>
      <c r="J62" s="352">
        <f>I62/'- 3 -'!E62</f>
        <v>0.10081839519009743</v>
      </c>
      <c r="K62" s="406">
        <f>I62/'- 7 -'!H62</f>
        <v>1223.9382806759736</v>
      </c>
    </row>
    <row r="63" spans="1:11" ht="12.75">
      <c r="A63" s="11">
        <v>3000</v>
      </c>
      <c r="B63" s="12" t="s">
        <v>366</v>
      </c>
      <c r="C63" s="405">
        <v>9276</v>
      </c>
      <c r="D63" s="351">
        <f>C63/'- 3 -'!E63</f>
        <v>0.0016084926190719781</v>
      </c>
      <c r="E63" s="405">
        <f>C63/'- 7 -'!H63</f>
        <v>13.815907059874888</v>
      </c>
      <c r="F63" s="405">
        <v>155189</v>
      </c>
      <c r="G63" s="351">
        <f>F63/'- 3 -'!E63</f>
        <v>0.026910345090681458</v>
      </c>
      <c r="H63" s="405">
        <f>F63/'- 7 -'!H63</f>
        <v>231.1423890378314</v>
      </c>
      <c r="I63" s="405">
        <v>441871</v>
      </c>
      <c r="J63" s="351">
        <f>I63/'- 3 -'!E63</f>
        <v>0.07662206145773545</v>
      </c>
      <c r="K63" s="405">
        <f>I63/'- 7 -'!H63</f>
        <v>658.1337503723563</v>
      </c>
    </row>
    <row r="64" spans="1:11" ht="4.5" customHeight="1">
      <c r="A64" s="15"/>
      <c r="B64" s="15"/>
      <c r="C64" s="412"/>
      <c r="D64" s="194"/>
      <c r="E64" s="412"/>
      <c r="F64" s="412"/>
      <c r="G64" s="194"/>
      <c r="H64" s="412"/>
      <c r="I64" s="412"/>
      <c r="J64" s="194"/>
      <c r="K64" s="412"/>
    </row>
    <row r="65" spans="1:11" ht="12.75">
      <c r="A65" s="17"/>
      <c r="B65" s="18" t="s">
        <v>167</v>
      </c>
      <c r="C65" s="407">
        <f>SUM(C11:C63)</f>
        <v>7470554.420000001</v>
      </c>
      <c r="D65" s="100">
        <f>C65/'- 3 -'!E65</f>
        <v>0.005757378572288091</v>
      </c>
      <c r="E65" s="407">
        <f>C65/'- 7 -'!H65</f>
        <v>41.22106163779816</v>
      </c>
      <c r="F65" s="407">
        <f>SUM(F11:F63)</f>
        <v>12883424.42</v>
      </c>
      <c r="G65" s="100">
        <f>F65/'- 3 -'!E65</f>
        <v>0.009928948712939182</v>
      </c>
      <c r="H65" s="407">
        <f>F65/'- 7 -'!H65</f>
        <v>71.08822214064453</v>
      </c>
      <c r="I65" s="407">
        <f>SUM(I11:I63)</f>
        <v>24418772.100000005</v>
      </c>
      <c r="J65" s="100">
        <f>I65/'- 3 -'!E65</f>
        <v>0.01881896675215255</v>
      </c>
      <c r="K65" s="407">
        <f>I65/'- 7 -'!H65</f>
        <v>134.73801986619435</v>
      </c>
    </row>
    <row r="66" spans="1:11" ht="4.5" customHeight="1">
      <c r="A66" s="15"/>
      <c r="B66" s="15"/>
      <c r="C66" s="412"/>
      <c r="D66" s="194"/>
      <c r="E66" s="412"/>
      <c r="F66" s="412"/>
      <c r="G66" s="194"/>
      <c r="H66" s="412"/>
      <c r="I66" s="412"/>
      <c r="J66" s="194"/>
      <c r="K66" s="412"/>
    </row>
    <row r="67" spans="1:11" ht="12.75">
      <c r="A67" s="13">
        <v>2155</v>
      </c>
      <c r="B67" s="14" t="s">
        <v>168</v>
      </c>
      <c r="C67" s="406">
        <v>10633.45</v>
      </c>
      <c r="D67" s="352">
        <f>C67/'- 3 -'!E67</f>
        <v>0.008886405216952364</v>
      </c>
      <c r="E67" s="406">
        <f>C67/'- 7 -'!H67</f>
        <v>72.8318493150685</v>
      </c>
      <c r="F67" s="406">
        <v>21516.02</v>
      </c>
      <c r="G67" s="352">
        <f>F67/'- 3 -'!E67</f>
        <v>0.017981000745388505</v>
      </c>
      <c r="H67" s="406">
        <f>F67/'- 7 -'!H67</f>
        <v>147.37</v>
      </c>
      <c r="I67" s="406">
        <v>15667.34</v>
      </c>
      <c r="J67" s="352">
        <f>I67/'- 3 -'!E67</f>
        <v>0.013093241789989746</v>
      </c>
      <c r="K67" s="406">
        <f>I67/'- 7 -'!H67</f>
        <v>107.31054794520549</v>
      </c>
    </row>
    <row r="68" spans="1:11" ht="12.75">
      <c r="A68" s="11">
        <v>2408</v>
      </c>
      <c r="B68" s="12" t="s">
        <v>170</v>
      </c>
      <c r="C68" s="405">
        <v>35894</v>
      </c>
      <c r="D68" s="351">
        <f>C68/'- 3 -'!E68</f>
        <v>0.016742197951046773</v>
      </c>
      <c r="E68" s="405">
        <f>C68/'- 7 -'!H68</f>
        <v>139.12403100775194</v>
      </c>
      <c r="F68" s="405">
        <v>58139</v>
      </c>
      <c r="G68" s="351">
        <f>F68/'- 3 -'!E68</f>
        <v>0.02711803216905077</v>
      </c>
      <c r="H68" s="405">
        <f>F68/'- 7 -'!H68</f>
        <v>225.34496124031008</v>
      </c>
      <c r="I68" s="405">
        <v>68965</v>
      </c>
      <c r="J68" s="351">
        <f>I68/'- 3 -'!E68</f>
        <v>0.032167651465257165</v>
      </c>
      <c r="K68" s="405">
        <f>I68/'- 7 -'!H68</f>
        <v>267.3062015503876</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74"/>
  <sheetViews>
    <sheetView showGridLines="0" showZeros="0" workbookViewId="0" topLeftCell="A1">
      <selection activeCell="A1" sqref="A1"/>
    </sheetView>
  </sheetViews>
  <sheetFormatPr defaultColWidth="15.83203125" defaultRowHeight="12"/>
  <cols>
    <col min="1" max="1" width="6.83203125" style="79" customWidth="1"/>
    <col min="2" max="2" width="35.83203125" style="79" customWidth="1"/>
    <col min="3" max="3" width="20.83203125" style="79" customWidth="1"/>
    <col min="4" max="5" width="15.83203125" style="79" customWidth="1"/>
    <col min="6" max="6" width="44.83203125" style="79" customWidth="1"/>
    <col min="7" max="16384" width="15.83203125" style="79" customWidth="1"/>
  </cols>
  <sheetData>
    <row r="1" spans="1:6" ht="6.75" customHeight="1">
      <c r="A1" s="15"/>
      <c r="B1" s="77"/>
      <c r="C1" s="139"/>
      <c r="D1" s="139"/>
      <c r="E1" s="139"/>
      <c r="F1" s="139"/>
    </row>
    <row r="2" spans="1:6" ht="12.75">
      <c r="A2" s="6"/>
      <c r="B2" s="80"/>
      <c r="C2" s="196" t="s">
        <v>0</v>
      </c>
      <c r="D2" s="196"/>
      <c r="E2" s="196"/>
      <c r="F2" s="216" t="s">
        <v>438</v>
      </c>
    </row>
    <row r="3" spans="1:6" ht="12.75">
      <c r="A3" s="7"/>
      <c r="B3" s="83"/>
      <c r="C3" s="199" t="str">
        <f>YEAR</f>
        <v>OPERATING FUND ACTUAL 2001/2002</v>
      </c>
      <c r="D3" s="199"/>
      <c r="E3" s="199"/>
      <c r="F3" s="217"/>
    </row>
    <row r="4" spans="1:6" ht="12.75">
      <c r="A4" s="8"/>
      <c r="C4" s="139"/>
      <c r="D4" s="139"/>
      <c r="E4" s="139"/>
      <c r="F4" s="139"/>
    </row>
    <row r="5" spans="1:6" ht="16.5">
      <c r="A5" s="8"/>
      <c r="C5" s="353" t="s">
        <v>341</v>
      </c>
      <c r="D5" s="335"/>
      <c r="E5" s="337"/>
      <c r="F5" s="232"/>
    </row>
    <row r="6" spans="1:6" ht="12.75">
      <c r="A6" s="8"/>
      <c r="C6" s="64" t="s">
        <v>21</v>
      </c>
      <c r="D6" s="62"/>
      <c r="E6" s="63"/>
      <c r="F6" s="178"/>
    </row>
    <row r="7" spans="3:6" ht="12.75">
      <c r="C7" s="65" t="s">
        <v>52</v>
      </c>
      <c r="D7" s="66"/>
      <c r="E7" s="67"/>
      <c r="F7" s="178"/>
    </row>
    <row r="8" spans="1:6" ht="12.75">
      <c r="A8" s="91"/>
      <c r="B8" s="43"/>
      <c r="C8" s="70"/>
      <c r="D8" s="225"/>
      <c r="E8" s="226" t="s">
        <v>76</v>
      </c>
      <c r="F8" s="178"/>
    </row>
    <row r="9" spans="1:5" ht="12.75">
      <c r="A9" s="49" t="s">
        <v>101</v>
      </c>
      <c r="B9" s="50" t="s">
        <v>102</v>
      </c>
      <c r="C9" s="72" t="s">
        <v>103</v>
      </c>
      <c r="D9" s="73" t="s">
        <v>104</v>
      </c>
      <c r="E9" s="73" t="s">
        <v>105</v>
      </c>
    </row>
    <row r="10" spans="1:2" ht="4.5" customHeight="1">
      <c r="A10" s="74"/>
      <c r="B10" s="74"/>
    </row>
    <row r="11" spans="1:5" ht="12.75">
      <c r="A11" s="11">
        <v>1</v>
      </c>
      <c r="B11" s="12" t="s">
        <v>116</v>
      </c>
      <c r="C11" s="405">
        <v>914332</v>
      </c>
      <c r="D11" s="351">
        <f>C11/'- 3 -'!E11</f>
        <v>0.0037933800315771583</v>
      </c>
      <c r="E11" s="405">
        <f>C11/'- 7 -'!H11</f>
        <v>29.69256299259904</v>
      </c>
    </row>
    <row r="12" spans="1:5" ht="12.75">
      <c r="A12" s="13">
        <v>2</v>
      </c>
      <c r="B12" s="14" t="s">
        <v>117</v>
      </c>
      <c r="C12" s="406">
        <v>141973</v>
      </c>
      <c r="D12" s="352">
        <f>C12/'- 3 -'!E12</f>
        <v>0.0023626102995517543</v>
      </c>
      <c r="E12" s="406">
        <f>C12/'- 7 -'!H12</f>
        <v>15.529973626840025</v>
      </c>
    </row>
    <row r="13" spans="1:9" ht="12.75">
      <c r="A13" s="11">
        <v>3</v>
      </c>
      <c r="B13" s="12" t="s">
        <v>118</v>
      </c>
      <c r="C13" s="405">
        <v>228184</v>
      </c>
      <c r="D13" s="351">
        <f>C13/'- 3 -'!E13</f>
        <v>0.005435488942458861</v>
      </c>
      <c r="E13" s="405">
        <f>C13/'- 7 -'!H13</f>
        <v>38.982489109080035</v>
      </c>
      <c r="I13" s="405"/>
    </row>
    <row r="14" spans="1:9" ht="12.75">
      <c r="A14" s="13">
        <v>4</v>
      </c>
      <c r="B14" s="14" t="s">
        <v>119</v>
      </c>
      <c r="C14" s="406">
        <v>35271</v>
      </c>
      <c r="D14" s="352">
        <f>C14/'- 3 -'!E14</f>
        <v>0.0008485613831673435</v>
      </c>
      <c r="E14" s="406">
        <f>C14/'- 7 -'!H14</f>
        <v>5.966203186846646</v>
      </c>
      <c r="I14" s="406"/>
    </row>
    <row r="15" spans="1:9" ht="12.75">
      <c r="A15" s="11">
        <v>5</v>
      </c>
      <c r="B15" s="12" t="s">
        <v>120</v>
      </c>
      <c r="C15" s="405">
        <v>258954</v>
      </c>
      <c r="D15" s="351">
        <f>C15/'- 3 -'!E15</f>
        <v>0.005152526352392418</v>
      </c>
      <c r="E15" s="405">
        <f>C15/'- 7 -'!H15</f>
        <v>35.89752831417996</v>
      </c>
      <c r="I15" s="405"/>
    </row>
    <row r="16" spans="1:9" ht="12.75">
      <c r="A16" s="13">
        <v>6</v>
      </c>
      <c r="B16" s="14" t="s">
        <v>121</v>
      </c>
      <c r="C16" s="406">
        <v>258352</v>
      </c>
      <c r="D16" s="352">
        <f>C16/'- 3 -'!E16</f>
        <v>0.004460790130954213</v>
      </c>
      <c r="E16" s="406">
        <f>C16/'- 7 -'!H16</f>
        <v>29.41165755919854</v>
      </c>
      <c r="I16" s="406"/>
    </row>
    <row r="17" spans="1:9" ht="12.75">
      <c r="A17" s="11">
        <v>9</v>
      </c>
      <c r="B17" s="12" t="s">
        <v>122</v>
      </c>
      <c r="C17" s="405">
        <v>228925</v>
      </c>
      <c r="D17" s="351">
        <f>C17/'- 3 -'!E17</f>
        <v>0.0028081486346172298</v>
      </c>
      <c r="E17" s="405">
        <f>C17/'- 7 -'!H17</f>
        <v>18.260387502293266</v>
      </c>
      <c r="I17" s="405"/>
    </row>
    <row r="18" spans="1:9" ht="12.75">
      <c r="A18" s="13">
        <v>10</v>
      </c>
      <c r="B18" s="14" t="s">
        <v>123</v>
      </c>
      <c r="C18" s="406">
        <v>260805.3</v>
      </c>
      <c r="D18" s="352">
        <f>C18/'- 3 -'!E18</f>
        <v>0.0043524850785241</v>
      </c>
      <c r="E18" s="406">
        <f>C18/'- 7 -'!H18</f>
        <v>30.444790754683943</v>
      </c>
      <c r="I18" s="406"/>
    </row>
    <row r="19" spans="1:9" ht="12.75">
      <c r="A19" s="11">
        <v>11</v>
      </c>
      <c r="B19" s="12" t="s">
        <v>124</v>
      </c>
      <c r="C19" s="405">
        <v>7688</v>
      </c>
      <c r="D19" s="351">
        <f>C19/'- 3 -'!E19</f>
        <v>0.0002378120033628993</v>
      </c>
      <c r="E19" s="405">
        <f>C19/'- 7 -'!H19</f>
        <v>1.630367935531757</v>
      </c>
      <c r="I19" s="405"/>
    </row>
    <row r="20" spans="1:9" ht="12.75">
      <c r="A20" s="13">
        <v>12</v>
      </c>
      <c r="B20" s="14" t="s">
        <v>125</v>
      </c>
      <c r="C20" s="406">
        <v>38195</v>
      </c>
      <c r="D20" s="352">
        <f>C20/'- 3 -'!E20</f>
        <v>0.0007373783016912228</v>
      </c>
      <c r="E20" s="406">
        <f>C20/'- 7 -'!H20</f>
        <v>4.948179816038347</v>
      </c>
      <c r="I20" s="406"/>
    </row>
    <row r="21" spans="1:9" ht="12.75">
      <c r="A21" s="11">
        <v>13</v>
      </c>
      <c r="B21" s="12" t="s">
        <v>126</v>
      </c>
      <c r="C21" s="405">
        <v>48335</v>
      </c>
      <c r="D21" s="351">
        <f>C21/'- 3 -'!E21</f>
        <v>0.002445069652489512</v>
      </c>
      <c r="E21" s="405">
        <f>C21/'- 7 -'!H21</f>
        <v>18.074564355695163</v>
      </c>
      <c r="I21" s="405"/>
    </row>
    <row r="22" spans="1:9" ht="12.75">
      <c r="A22" s="13">
        <v>14</v>
      </c>
      <c r="B22" s="14" t="s">
        <v>127</v>
      </c>
      <c r="C22" s="406">
        <v>32674</v>
      </c>
      <c r="D22" s="352">
        <f>C22/'- 3 -'!E22</f>
        <v>0.0014209000166047522</v>
      </c>
      <c r="E22" s="406">
        <f>C22/'- 7 -'!H22</f>
        <v>9.294268240648556</v>
      </c>
      <c r="I22" s="406"/>
    </row>
    <row r="23" spans="1:9" ht="12.75">
      <c r="A23" s="11">
        <v>15</v>
      </c>
      <c r="B23" s="12" t="s">
        <v>128</v>
      </c>
      <c r="C23" s="405">
        <v>14268</v>
      </c>
      <c r="D23" s="351">
        <f>C23/'- 3 -'!E23</f>
        <v>0.0004460508694943878</v>
      </c>
      <c r="E23" s="405">
        <f>C23/'- 7 -'!H23</f>
        <v>2.3803803803803802</v>
      </c>
      <c r="I23" s="405"/>
    </row>
    <row r="24" spans="1:9" ht="12.75">
      <c r="A24" s="13">
        <v>16</v>
      </c>
      <c r="B24" s="14" t="s">
        <v>129</v>
      </c>
      <c r="C24" s="406">
        <v>4263</v>
      </c>
      <c r="D24" s="352">
        <f>C24/'- 3 -'!E24</f>
        <v>0.0006898152683449357</v>
      </c>
      <c r="E24" s="406">
        <f>C24/'- 7 -'!H24</f>
        <v>5.0701712654614655</v>
      </c>
      <c r="I24" s="406"/>
    </row>
    <row r="25" spans="1:9" ht="12.75">
      <c r="A25" s="11">
        <v>17</v>
      </c>
      <c r="B25" s="12" t="s">
        <v>130</v>
      </c>
      <c r="C25" s="405">
        <v>0</v>
      </c>
      <c r="D25" s="351">
        <f>C25/'- 3 -'!E25</f>
        <v>0</v>
      </c>
      <c r="E25" s="405">
        <f>C25/'- 7 -'!H25</f>
        <v>0</v>
      </c>
      <c r="I25" s="405"/>
    </row>
    <row r="26" spans="1:9" ht="12.75">
      <c r="A26" s="13">
        <v>18</v>
      </c>
      <c r="B26" s="14" t="s">
        <v>131</v>
      </c>
      <c r="C26" s="406">
        <v>6245</v>
      </c>
      <c r="D26" s="352">
        <f>C26/'- 3 -'!E26</f>
        <v>0.000650258453370046</v>
      </c>
      <c r="E26" s="406">
        <f>C26/'- 7 -'!H26</f>
        <v>4.246854811288677</v>
      </c>
      <c r="I26" s="406"/>
    </row>
    <row r="27" spans="1:9" ht="12.75">
      <c r="A27" s="11">
        <v>19</v>
      </c>
      <c r="B27" s="12" t="s">
        <v>132</v>
      </c>
      <c r="C27" s="405">
        <v>28005</v>
      </c>
      <c r="D27" s="351">
        <f>C27/'- 3 -'!E27</f>
        <v>0.0019051746111205274</v>
      </c>
      <c r="E27" s="405">
        <f>C27/'- 7 -'!H27</f>
        <v>15.068603712671509</v>
      </c>
      <c r="I27" s="405"/>
    </row>
    <row r="28" spans="1:9" ht="12.75">
      <c r="A28" s="13">
        <v>20</v>
      </c>
      <c r="B28" s="14" t="s">
        <v>133</v>
      </c>
      <c r="C28" s="406">
        <v>0</v>
      </c>
      <c r="D28" s="352">
        <f>C28/'- 3 -'!E28</f>
        <v>0</v>
      </c>
      <c r="E28" s="406">
        <f>C28/'- 7 -'!H28</f>
        <v>0</v>
      </c>
      <c r="I28" s="406"/>
    </row>
    <row r="29" spans="1:9" ht="12.75">
      <c r="A29" s="11">
        <v>21</v>
      </c>
      <c r="B29" s="12" t="s">
        <v>134</v>
      </c>
      <c r="C29" s="405">
        <v>7034</v>
      </c>
      <c r="D29" s="351">
        <f>C29/'- 3 -'!E29</f>
        <v>0.0003153482890494791</v>
      </c>
      <c r="E29" s="405">
        <f>C29/'- 7 -'!H29</f>
        <v>2.049832434795279</v>
      </c>
      <c r="I29" s="405"/>
    </row>
    <row r="30" spans="1:9" ht="12.75">
      <c r="A30" s="13">
        <v>22</v>
      </c>
      <c r="B30" s="14" t="s">
        <v>135</v>
      </c>
      <c r="C30" s="406">
        <v>0</v>
      </c>
      <c r="D30" s="352">
        <f>C30/'- 3 -'!E30</f>
        <v>0</v>
      </c>
      <c r="E30" s="406">
        <f>C30/'- 7 -'!H30</f>
        <v>0</v>
      </c>
      <c r="I30" s="406"/>
    </row>
    <row r="31" spans="1:9" ht="12.75">
      <c r="A31" s="11">
        <v>23</v>
      </c>
      <c r="B31" s="12" t="s">
        <v>136</v>
      </c>
      <c r="C31" s="405">
        <v>0</v>
      </c>
      <c r="D31" s="351">
        <f>C31/'- 3 -'!E31</f>
        <v>0</v>
      </c>
      <c r="E31" s="405">
        <f>C31/'- 7 -'!H31</f>
        <v>0</v>
      </c>
      <c r="I31" s="405"/>
    </row>
    <row r="32" spans="1:9" ht="12.75">
      <c r="A32" s="13">
        <v>24</v>
      </c>
      <c r="B32" s="14" t="s">
        <v>137</v>
      </c>
      <c r="C32" s="406">
        <v>6075</v>
      </c>
      <c r="D32" s="352">
        <f>C32/'- 3 -'!E32</f>
        <v>0.00026725423004056323</v>
      </c>
      <c r="E32" s="406">
        <f>C32/'- 7 -'!H32</f>
        <v>1.7002518891687657</v>
      </c>
      <c r="I32" s="406"/>
    </row>
    <row r="33" spans="1:9" ht="12.75">
      <c r="A33" s="11">
        <v>25</v>
      </c>
      <c r="B33" s="12" t="s">
        <v>138</v>
      </c>
      <c r="C33" s="405">
        <v>10467</v>
      </c>
      <c r="D33" s="351">
        <f>C33/'- 3 -'!E33</f>
        <v>0.000996074892041926</v>
      </c>
      <c r="E33" s="405">
        <f>C33/'- 7 -'!H33</f>
        <v>7.173600164484957</v>
      </c>
      <c r="I33" s="405"/>
    </row>
    <row r="34" spans="1:9" ht="12.75">
      <c r="A34" s="13">
        <v>26</v>
      </c>
      <c r="B34" s="14" t="s">
        <v>139</v>
      </c>
      <c r="C34" s="406">
        <v>14243</v>
      </c>
      <c r="D34" s="352">
        <f>C34/'- 3 -'!E34</f>
        <v>0.0008781476024128929</v>
      </c>
      <c r="E34" s="406">
        <f>C34/'- 7 -'!H34</f>
        <v>5.009672540536738</v>
      </c>
      <c r="I34" s="406"/>
    </row>
    <row r="35" spans="1:9" ht="12.75">
      <c r="A35" s="11">
        <v>28</v>
      </c>
      <c r="B35" s="12" t="s">
        <v>140</v>
      </c>
      <c r="C35" s="405">
        <v>10420</v>
      </c>
      <c r="D35" s="351">
        <f>C35/'- 3 -'!E35</f>
        <v>0.0016359008970608575</v>
      </c>
      <c r="E35" s="405">
        <f>C35/'- 7 -'!H35</f>
        <v>11.82317432941497</v>
      </c>
      <c r="I35" s="405"/>
    </row>
    <row r="36" spans="1:9" ht="12.75">
      <c r="A36" s="13">
        <v>30</v>
      </c>
      <c r="B36" s="14" t="s">
        <v>141</v>
      </c>
      <c r="C36" s="406">
        <v>9876</v>
      </c>
      <c r="D36" s="352">
        <f>C36/'- 3 -'!E36</f>
        <v>0.0010689528721235361</v>
      </c>
      <c r="E36" s="406">
        <f>C36/'- 7 -'!H36</f>
        <v>7.587001613274948</v>
      </c>
      <c r="I36" s="406"/>
    </row>
    <row r="37" spans="1:9" ht="12.75">
      <c r="A37" s="11">
        <v>31</v>
      </c>
      <c r="B37" s="12" t="s">
        <v>142</v>
      </c>
      <c r="C37" s="405">
        <v>9378</v>
      </c>
      <c r="D37" s="351">
        <f>C37/'- 3 -'!E37</f>
        <v>0.000871631652070074</v>
      </c>
      <c r="E37" s="405">
        <f>C37/'- 7 -'!H37</f>
        <v>5.680193821926105</v>
      </c>
      <c r="I37" s="405"/>
    </row>
    <row r="38" spans="1:9" ht="12.75">
      <c r="A38" s="13">
        <v>32</v>
      </c>
      <c r="B38" s="14" t="s">
        <v>143</v>
      </c>
      <c r="C38" s="406">
        <v>8058</v>
      </c>
      <c r="D38" s="352">
        <f>C38/'- 3 -'!E38</f>
        <v>0.0012703024777166276</v>
      </c>
      <c r="E38" s="406">
        <f>C38/'- 7 -'!H38</f>
        <v>9.720144752714113</v>
      </c>
      <c r="I38" s="406"/>
    </row>
    <row r="39" spans="1:9" ht="12.75">
      <c r="A39" s="11">
        <v>33</v>
      </c>
      <c r="B39" s="12" t="s">
        <v>144</v>
      </c>
      <c r="C39" s="405">
        <v>15445</v>
      </c>
      <c r="D39" s="351">
        <f>C39/'- 3 -'!E39</f>
        <v>0.0011879832551664196</v>
      </c>
      <c r="E39" s="405">
        <f>C39/'- 7 -'!H39</f>
        <v>8.116132422490804</v>
      </c>
      <c r="I39" s="405"/>
    </row>
    <row r="40" spans="1:9" ht="12.75">
      <c r="A40" s="13">
        <v>34</v>
      </c>
      <c r="B40" s="14" t="s">
        <v>145</v>
      </c>
      <c r="C40" s="406">
        <v>7437.12</v>
      </c>
      <c r="D40" s="352">
        <f>C40/'- 3 -'!E40</f>
        <v>0.001284782002728265</v>
      </c>
      <c r="E40" s="406">
        <f>C40/'- 7 -'!H40</f>
        <v>10.146139154160982</v>
      </c>
      <c r="I40" s="406"/>
    </row>
    <row r="41" spans="1:9" ht="12.75">
      <c r="A41" s="11">
        <v>35</v>
      </c>
      <c r="B41" s="12" t="s">
        <v>146</v>
      </c>
      <c r="C41" s="405">
        <v>16439</v>
      </c>
      <c r="D41" s="351">
        <f>C41/'- 3 -'!E41</f>
        <v>0.0011810644230926732</v>
      </c>
      <c r="E41" s="405">
        <f>C41/'- 7 -'!H41</f>
        <v>8.545067054787399</v>
      </c>
      <c r="I41" s="405"/>
    </row>
    <row r="42" spans="1:9" ht="12.75">
      <c r="A42" s="13">
        <v>36</v>
      </c>
      <c r="B42" s="14" t="s">
        <v>147</v>
      </c>
      <c r="C42" s="406">
        <v>5950</v>
      </c>
      <c r="D42" s="352">
        <f>C42/'- 3 -'!E42</f>
        <v>0.0007424812239538678</v>
      </c>
      <c r="E42" s="406">
        <f>C42/'- 7 -'!H42</f>
        <v>5.899851264253843</v>
      </c>
      <c r="I42" s="406"/>
    </row>
    <row r="43" spans="1:9" ht="12.75">
      <c r="A43" s="11">
        <v>37</v>
      </c>
      <c r="B43" s="12" t="s">
        <v>148</v>
      </c>
      <c r="C43" s="405">
        <v>5950</v>
      </c>
      <c r="D43" s="351">
        <f>C43/'- 3 -'!E43</f>
        <v>0.0008657807918059782</v>
      </c>
      <c r="E43" s="405">
        <f>C43/'- 7 -'!H43</f>
        <v>6.178608515057113</v>
      </c>
      <c r="I43" s="405"/>
    </row>
    <row r="44" spans="1:9" ht="12.75">
      <c r="A44" s="13">
        <v>38</v>
      </c>
      <c r="B44" s="14" t="s">
        <v>149</v>
      </c>
      <c r="C44" s="406">
        <v>0</v>
      </c>
      <c r="D44" s="352">
        <f>C44/'- 3 -'!E44</f>
        <v>0</v>
      </c>
      <c r="E44" s="406">
        <f>C44/'- 7 -'!H44</f>
        <v>0</v>
      </c>
      <c r="I44" s="406"/>
    </row>
    <row r="45" spans="1:9" ht="12.75">
      <c r="A45" s="11">
        <v>39</v>
      </c>
      <c r="B45" s="12" t="s">
        <v>150</v>
      </c>
      <c r="C45" s="405">
        <v>0</v>
      </c>
      <c r="D45" s="351">
        <f>C45/'- 3 -'!E45</f>
        <v>0</v>
      </c>
      <c r="E45" s="405">
        <f>C45/'- 7 -'!H45</f>
        <v>0</v>
      </c>
      <c r="I45" s="405"/>
    </row>
    <row r="46" spans="1:9" ht="12.75">
      <c r="A46" s="13">
        <v>40</v>
      </c>
      <c r="B46" s="14" t="s">
        <v>151</v>
      </c>
      <c r="C46" s="406">
        <v>72227</v>
      </c>
      <c r="D46" s="352">
        <f>C46/'- 3 -'!E46</f>
        <v>0.001612239942965006</v>
      </c>
      <c r="E46" s="406">
        <f>C46/'- 7 -'!H46</f>
        <v>9.75908660991758</v>
      </c>
      <c r="I46" s="406"/>
    </row>
    <row r="47" spans="1:9" ht="12.75">
      <c r="A47" s="11">
        <v>41</v>
      </c>
      <c r="B47" s="12" t="s">
        <v>152</v>
      </c>
      <c r="C47" s="405">
        <v>27876</v>
      </c>
      <c r="D47" s="351">
        <f>C47/'- 3 -'!E47</f>
        <v>0.0022712386602038426</v>
      </c>
      <c r="E47" s="405">
        <f>C47/'- 7 -'!H47</f>
        <v>16.83638340279036</v>
      </c>
      <c r="I47" s="405"/>
    </row>
    <row r="48" spans="1:9" ht="12.75">
      <c r="A48" s="13">
        <v>42</v>
      </c>
      <c r="B48" s="14" t="s">
        <v>153</v>
      </c>
      <c r="C48" s="406">
        <v>7826</v>
      </c>
      <c r="D48" s="352">
        <f>C48/'- 3 -'!E48</f>
        <v>0.0010125231492083403</v>
      </c>
      <c r="E48" s="406">
        <f>C48/'- 7 -'!H48</f>
        <v>7.403973509933775</v>
      </c>
      <c r="I48" s="406"/>
    </row>
    <row r="49" spans="1:9" ht="12.75">
      <c r="A49" s="11">
        <v>43</v>
      </c>
      <c r="B49" s="12" t="s">
        <v>154</v>
      </c>
      <c r="C49" s="405">
        <v>12887</v>
      </c>
      <c r="D49" s="351">
        <f>C49/'- 3 -'!E49</f>
        <v>0.002026751802719216</v>
      </c>
      <c r="E49" s="405">
        <f>C49/'- 7 -'!H49</f>
        <v>16.553628773281954</v>
      </c>
      <c r="I49" s="405"/>
    </row>
    <row r="50" spans="1:9" ht="12.75">
      <c r="A50" s="13">
        <v>44</v>
      </c>
      <c r="B50" s="14" t="s">
        <v>155</v>
      </c>
      <c r="C50" s="406">
        <v>0</v>
      </c>
      <c r="D50" s="352">
        <f>C50/'- 3 -'!E50</f>
        <v>0</v>
      </c>
      <c r="E50" s="406">
        <f>C50/'- 7 -'!H50</f>
        <v>0</v>
      </c>
      <c r="I50" s="406"/>
    </row>
    <row r="51" spans="1:9" ht="12.75">
      <c r="A51" s="11">
        <v>45</v>
      </c>
      <c r="B51" s="12" t="s">
        <v>156</v>
      </c>
      <c r="C51" s="405">
        <v>0</v>
      </c>
      <c r="D51" s="351">
        <f>C51/'- 3 -'!E51</f>
        <v>0</v>
      </c>
      <c r="E51" s="405">
        <f>C51/'- 7 -'!H51</f>
        <v>0</v>
      </c>
      <c r="I51" s="405"/>
    </row>
    <row r="52" spans="1:9" ht="12.75">
      <c r="A52" s="13">
        <v>46</v>
      </c>
      <c r="B52" s="14" t="s">
        <v>157</v>
      </c>
      <c r="C52" s="406">
        <v>10700</v>
      </c>
      <c r="D52" s="352">
        <f>C52/'- 3 -'!E52</f>
        <v>0.0009781364061788981</v>
      </c>
      <c r="E52" s="406">
        <f>C52/'- 7 -'!H52</f>
        <v>7.443996104076805</v>
      </c>
      <c r="I52" s="406"/>
    </row>
    <row r="53" spans="1:9" ht="12.75">
      <c r="A53" s="11">
        <v>47</v>
      </c>
      <c r="B53" s="12" t="s">
        <v>158</v>
      </c>
      <c r="C53" s="405">
        <v>7763</v>
      </c>
      <c r="D53" s="351">
        <f>C53/'- 3 -'!E53</f>
        <v>0.0008429580912032225</v>
      </c>
      <c r="E53" s="405">
        <f>C53/'- 7 -'!H53</f>
        <v>5.366747321119945</v>
      </c>
      <c r="I53" s="405"/>
    </row>
    <row r="54" spans="1:9" ht="12.75">
      <c r="A54" s="13">
        <v>48</v>
      </c>
      <c r="B54" s="14" t="s">
        <v>159</v>
      </c>
      <c r="C54" s="406">
        <v>98817</v>
      </c>
      <c r="D54" s="352">
        <f>C54/'- 3 -'!E54</f>
        <v>0.0016637455389447394</v>
      </c>
      <c r="E54" s="406">
        <f>C54/'- 7 -'!H54</f>
        <v>18.902576658951357</v>
      </c>
      <c r="I54" s="406"/>
    </row>
    <row r="55" spans="1:9" ht="12.75">
      <c r="A55" s="11">
        <v>49</v>
      </c>
      <c r="B55" s="12" t="s">
        <v>160</v>
      </c>
      <c r="C55" s="405">
        <v>17178</v>
      </c>
      <c r="D55" s="351">
        <f>C55/'- 3 -'!E55</f>
        <v>0.0004742230194832559</v>
      </c>
      <c r="E55" s="405">
        <f>C55/'- 7 -'!H55</f>
        <v>4.0316372512204275</v>
      </c>
      <c r="I55" s="405"/>
    </row>
    <row r="56" spans="1:9" ht="12.75">
      <c r="A56" s="13">
        <v>50</v>
      </c>
      <c r="B56" s="14" t="s">
        <v>343</v>
      </c>
      <c r="C56" s="406">
        <v>5950</v>
      </c>
      <c r="D56" s="352">
        <f>C56/'- 3 -'!E56</f>
        <v>0.00041278630198835343</v>
      </c>
      <c r="E56" s="406">
        <f>C56/'- 7 -'!H56</f>
        <v>3.376269647619588</v>
      </c>
      <c r="I56" s="406"/>
    </row>
    <row r="57" spans="1:9" ht="12.75">
      <c r="A57" s="11">
        <v>2264</v>
      </c>
      <c r="B57" s="12" t="s">
        <v>161</v>
      </c>
      <c r="C57" s="405">
        <v>0</v>
      </c>
      <c r="D57" s="351">
        <f>C57/'- 3 -'!E57</f>
        <v>0</v>
      </c>
      <c r="E57" s="405">
        <f>C57/'- 7 -'!H57</f>
        <v>0</v>
      </c>
      <c r="I57" s="405"/>
    </row>
    <row r="58" spans="1:9" ht="12.75">
      <c r="A58" s="13">
        <v>2309</v>
      </c>
      <c r="B58" s="14" t="s">
        <v>162</v>
      </c>
      <c r="C58" s="406">
        <v>0</v>
      </c>
      <c r="D58" s="352">
        <f>C58/'- 3 -'!E58</f>
        <v>0</v>
      </c>
      <c r="E58" s="406">
        <f>C58/'- 7 -'!H58</f>
        <v>0</v>
      </c>
      <c r="I58" s="406"/>
    </row>
    <row r="59" spans="1:9" ht="12.75">
      <c r="A59" s="11">
        <v>2312</v>
      </c>
      <c r="B59" s="12" t="s">
        <v>163</v>
      </c>
      <c r="C59" s="405">
        <v>4367</v>
      </c>
      <c r="D59" s="351">
        <f>C59/'- 3 -'!E59</f>
        <v>0.0021678987168839447</v>
      </c>
      <c r="E59" s="405">
        <f>C59/'- 7 -'!H59</f>
        <v>25.097701149425287</v>
      </c>
      <c r="I59" s="405"/>
    </row>
    <row r="60" spans="1:9" ht="12.75">
      <c r="A60" s="13">
        <v>2355</v>
      </c>
      <c r="B60" s="14" t="s">
        <v>164</v>
      </c>
      <c r="C60" s="406">
        <v>0</v>
      </c>
      <c r="D60" s="352">
        <f>C60/'- 3 -'!E60</f>
        <v>0</v>
      </c>
      <c r="E60" s="406">
        <f>C60/'- 7 -'!H60</f>
        <v>0</v>
      </c>
      <c r="I60" s="406"/>
    </row>
    <row r="61" spans="1:9" ht="12.75">
      <c r="A61" s="11">
        <v>2439</v>
      </c>
      <c r="B61" s="12" t="s">
        <v>165</v>
      </c>
      <c r="C61" s="405">
        <v>0</v>
      </c>
      <c r="D61" s="351">
        <f>C61/'- 3 -'!E61</f>
        <v>0</v>
      </c>
      <c r="E61" s="405">
        <f>C61/'- 7 -'!H61</f>
        <v>0</v>
      </c>
      <c r="I61" s="405"/>
    </row>
    <row r="62" spans="1:9" ht="12.75">
      <c r="A62" s="13">
        <v>2460</v>
      </c>
      <c r="B62" s="14" t="s">
        <v>166</v>
      </c>
      <c r="C62" s="406">
        <v>0</v>
      </c>
      <c r="D62" s="352">
        <f>C62/'- 3 -'!E62</f>
        <v>0</v>
      </c>
      <c r="E62" s="406">
        <f>C62/'- 7 -'!H62</f>
        <v>0</v>
      </c>
      <c r="I62" s="406"/>
    </row>
    <row r="63" spans="1:9" ht="12.75">
      <c r="A63" s="11">
        <v>3000</v>
      </c>
      <c r="B63" s="12" t="s">
        <v>366</v>
      </c>
      <c r="C63" s="405">
        <v>221575</v>
      </c>
      <c r="D63" s="351">
        <f>C63/'- 3 -'!E63</f>
        <v>0.038421922387976884</v>
      </c>
      <c r="E63" s="405">
        <f>C63/'- 7 -'!H63</f>
        <v>330.0193625260649</v>
      </c>
      <c r="I63" s="405"/>
    </row>
    <row r="64" spans="1:9" ht="4.5" customHeight="1">
      <c r="A64" s="15"/>
      <c r="B64" s="15"/>
      <c r="C64" s="412"/>
      <c r="D64" s="194"/>
      <c r="E64" s="412"/>
      <c r="I64" s="406"/>
    </row>
    <row r="65" spans="1:9" ht="12.75">
      <c r="A65" s="17"/>
      <c r="B65" s="18" t="s">
        <v>167</v>
      </c>
      <c r="C65" s="407">
        <f>SUM(C11:C63)</f>
        <v>3120407.42</v>
      </c>
      <c r="D65" s="100">
        <f>C65/'- 3 -'!E65</f>
        <v>0.0024048237663084667</v>
      </c>
      <c r="E65" s="407">
        <f>C65/'- 7 -'!H65</f>
        <v>17.217799290840677</v>
      </c>
      <c r="F65" s="74"/>
      <c r="I65" s="405"/>
    </row>
    <row r="66" spans="1:9" ht="4.5" customHeight="1">
      <c r="A66" s="15"/>
      <c r="B66" s="15"/>
      <c r="C66" s="412"/>
      <c r="D66" s="194"/>
      <c r="E66" s="412"/>
      <c r="I66" s="412"/>
    </row>
    <row r="67" spans="1:9" ht="12.75">
      <c r="A67" s="13">
        <v>2155</v>
      </c>
      <c r="B67" s="14" t="s">
        <v>168</v>
      </c>
      <c r="C67" s="406">
        <v>0</v>
      </c>
      <c r="D67" s="352">
        <f>C67/'- 3 -'!E67</f>
        <v>0</v>
      </c>
      <c r="E67" s="406">
        <f>C67/'- 7 -'!H67</f>
        <v>0</v>
      </c>
      <c r="I67" s="407"/>
    </row>
    <row r="68" spans="1:9" ht="12.75">
      <c r="A68" s="11">
        <v>2408</v>
      </c>
      <c r="B68" s="12" t="s">
        <v>170</v>
      </c>
      <c r="C68" s="405">
        <v>4959</v>
      </c>
      <c r="D68" s="351">
        <f>C68/'- 3 -'!E68</f>
        <v>0.002313048410298126</v>
      </c>
      <c r="E68" s="405">
        <f>C68/'- 7 -'!H68</f>
        <v>19.22093023255814</v>
      </c>
      <c r="I68" s="412"/>
    </row>
    <row r="69" ht="6.75" customHeight="1">
      <c r="I69" s="406"/>
    </row>
    <row r="70" spans="1:9" ht="12" customHeight="1">
      <c r="A70" s="4"/>
      <c r="B70" s="4"/>
      <c r="I70" s="405"/>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0</v>
      </c>
      <c r="D2" s="196"/>
      <c r="E2" s="197"/>
      <c r="F2" s="196"/>
      <c r="G2" s="196"/>
      <c r="H2" s="196"/>
      <c r="I2" s="211"/>
      <c r="J2" s="211"/>
      <c r="K2" s="216" t="s">
        <v>437</v>
      </c>
    </row>
    <row r="3" spans="1:11" ht="12.75">
      <c r="A3" s="7"/>
      <c r="B3" s="83"/>
      <c r="C3" s="199" t="str">
        <f>YEAR</f>
        <v>OPERATING FUND ACTUAL 2001/2002</v>
      </c>
      <c r="D3" s="199"/>
      <c r="E3" s="200"/>
      <c r="F3" s="199"/>
      <c r="G3" s="199"/>
      <c r="H3" s="199"/>
      <c r="I3" s="212"/>
      <c r="J3" s="212"/>
      <c r="K3" s="199"/>
    </row>
    <row r="4" spans="1:11" ht="12.75">
      <c r="A4" s="8"/>
      <c r="C4" s="139"/>
      <c r="D4" s="139"/>
      <c r="E4" s="139"/>
      <c r="F4" s="139"/>
      <c r="G4" s="139"/>
      <c r="H4" s="139"/>
      <c r="I4" s="139"/>
      <c r="J4" s="139"/>
      <c r="K4" s="139"/>
    </row>
    <row r="5" spans="1:11" ht="16.5">
      <c r="A5" s="8"/>
      <c r="C5" s="331" t="s">
        <v>13</v>
      </c>
      <c r="D5" s="218"/>
      <c r="E5" s="230"/>
      <c r="F5" s="230"/>
      <c r="G5" s="230"/>
      <c r="H5" s="230"/>
      <c r="I5" s="230"/>
      <c r="J5" s="230"/>
      <c r="K5" s="231"/>
    </row>
    <row r="6" spans="1:11" ht="12.75">
      <c r="A6" s="8"/>
      <c r="C6" s="64" t="s">
        <v>23</v>
      </c>
      <c r="D6" s="62"/>
      <c r="E6" s="63"/>
      <c r="F6" s="64" t="s">
        <v>474</v>
      </c>
      <c r="G6" s="62"/>
      <c r="H6" s="63"/>
      <c r="I6" s="64" t="s">
        <v>22</v>
      </c>
      <c r="J6" s="62"/>
      <c r="K6" s="63"/>
    </row>
    <row r="7" spans="3:11" ht="16.5">
      <c r="C7" s="65" t="s">
        <v>54</v>
      </c>
      <c r="D7" s="66"/>
      <c r="E7" s="67"/>
      <c r="F7" s="65" t="s">
        <v>475</v>
      </c>
      <c r="G7" s="66"/>
      <c r="H7" s="67"/>
      <c r="I7" s="65" t="s">
        <v>53</v>
      </c>
      <c r="J7" s="66"/>
      <c r="K7" s="67"/>
    </row>
    <row r="8" spans="1:11" ht="12.75">
      <c r="A8" s="91"/>
      <c r="B8" s="43"/>
      <c r="C8" s="139"/>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757786</v>
      </c>
      <c r="D11" s="351">
        <f>C11/'- 3 -'!E11</f>
        <v>0.0031439020843727753</v>
      </c>
      <c r="E11" s="405">
        <f>C11/'- 7 -'!H11</f>
        <v>24.60879477029094</v>
      </c>
      <c r="F11" s="405">
        <v>3582581</v>
      </c>
      <c r="G11" s="351">
        <f>F11/'- 3 -'!E11</f>
        <v>0.014863409819308225</v>
      </c>
      <c r="H11" s="405">
        <f>F11/'- 7 -'!H11</f>
        <v>116.34287328737096</v>
      </c>
      <c r="I11" s="405">
        <v>1949573</v>
      </c>
      <c r="J11" s="351">
        <f>I11/'- 3 -'!E11</f>
        <v>0.008088387246975907</v>
      </c>
      <c r="K11" s="405">
        <f>I11/'- 7 -'!H11</f>
        <v>63.311597003244216</v>
      </c>
    </row>
    <row r="12" spans="1:11" ht="12.75">
      <c r="A12" s="13">
        <v>2</v>
      </c>
      <c r="B12" s="14" t="s">
        <v>117</v>
      </c>
      <c r="C12" s="406">
        <v>516861</v>
      </c>
      <c r="D12" s="352">
        <f>C12/'- 3 -'!E12</f>
        <v>0.008601220809848487</v>
      </c>
      <c r="E12" s="406">
        <f>C12/'- 7 -'!H12</f>
        <v>56.537776188022804</v>
      </c>
      <c r="F12" s="406">
        <v>806163</v>
      </c>
      <c r="G12" s="352">
        <f>F12/'- 3 -'!E12</f>
        <v>0.013415572023677325</v>
      </c>
      <c r="H12" s="406">
        <f>F12/'- 7 -'!H12</f>
        <v>88.18359919797592</v>
      </c>
      <c r="I12" s="406">
        <v>796618</v>
      </c>
      <c r="J12" s="352">
        <f>I12/'- 3 -'!E12</f>
        <v>0.013256731150347737</v>
      </c>
      <c r="K12" s="406">
        <f>I12/'- 7 -'!H12</f>
        <v>87.13950209311663</v>
      </c>
    </row>
    <row r="13" spans="1:11" ht="12.75">
      <c r="A13" s="11">
        <v>3</v>
      </c>
      <c r="B13" s="12" t="s">
        <v>118</v>
      </c>
      <c r="C13" s="405">
        <v>335620</v>
      </c>
      <c r="D13" s="351">
        <f>C13/'- 3 -'!E13</f>
        <v>0.00799468323312784</v>
      </c>
      <c r="E13" s="405">
        <f>C13/'- 7 -'!H13</f>
        <v>57.33663620056377</v>
      </c>
      <c r="F13" s="405">
        <v>1118370</v>
      </c>
      <c r="G13" s="351">
        <f>F13/'- 3 -'!E13</f>
        <v>0.026640289277853474</v>
      </c>
      <c r="H13" s="405">
        <f>F13/'- 7 -'!H13</f>
        <v>191.06004954300846</v>
      </c>
      <c r="I13" s="405">
        <v>335794</v>
      </c>
      <c r="J13" s="351">
        <f>I13/'- 3 -'!E13</f>
        <v>0.007998828024506674</v>
      </c>
      <c r="K13" s="405">
        <f>I13/'- 7 -'!H13</f>
        <v>57.366362005637654</v>
      </c>
    </row>
    <row r="14" spans="1:11" ht="12.75">
      <c r="A14" s="13">
        <v>4</v>
      </c>
      <c r="B14" s="14" t="s">
        <v>119</v>
      </c>
      <c r="C14" s="406">
        <v>124710</v>
      </c>
      <c r="D14" s="352">
        <f>C14/'- 3 -'!E14</f>
        <v>0.003000314425301222</v>
      </c>
      <c r="E14" s="406">
        <f>C14/'- 7 -'!H14</f>
        <v>21.095097939713792</v>
      </c>
      <c r="F14" s="406">
        <v>945811</v>
      </c>
      <c r="G14" s="352">
        <f>F14/'- 3 -'!E14</f>
        <v>0.02275463384579083</v>
      </c>
      <c r="H14" s="406">
        <f>F14/'- 7 -'!H14</f>
        <v>159.9869752021381</v>
      </c>
      <c r="I14" s="406">
        <v>679587</v>
      </c>
      <c r="J14" s="352">
        <f>I14/'- 3 -'!E14</f>
        <v>0.01634972880560646</v>
      </c>
      <c r="K14" s="406">
        <f>I14/'- 7 -'!H14</f>
        <v>114.95432863087385</v>
      </c>
    </row>
    <row r="15" spans="1:11" ht="12.75">
      <c r="A15" s="11">
        <v>5</v>
      </c>
      <c r="B15" s="12" t="s">
        <v>120</v>
      </c>
      <c r="C15" s="405">
        <v>98579</v>
      </c>
      <c r="D15" s="351">
        <f>C15/'- 3 -'!E15</f>
        <v>0.0019614715173061326</v>
      </c>
      <c r="E15" s="405">
        <f>C15/'- 7 -'!H15</f>
        <v>13.665525319877455</v>
      </c>
      <c r="F15" s="405">
        <v>1532356</v>
      </c>
      <c r="G15" s="351">
        <f>F15/'- 3 -'!E15</f>
        <v>0.030489989230699805</v>
      </c>
      <c r="H15" s="405">
        <f>F15/'- 7 -'!H15</f>
        <v>212.42302840428627</v>
      </c>
      <c r="I15" s="405">
        <v>431469</v>
      </c>
      <c r="J15" s="351">
        <f>I15/'- 3 -'!E15</f>
        <v>0.008585136328229742</v>
      </c>
      <c r="K15" s="405">
        <f>I15/'- 7 -'!H15</f>
        <v>59.81244021791868</v>
      </c>
    </row>
    <row r="16" spans="1:11" ht="12.75">
      <c r="A16" s="13">
        <v>6</v>
      </c>
      <c r="B16" s="14" t="s">
        <v>121</v>
      </c>
      <c r="C16" s="406">
        <v>372715</v>
      </c>
      <c r="D16" s="352">
        <f>C16/'- 3 -'!E16</f>
        <v>0.006435419093556851</v>
      </c>
      <c r="E16" s="406">
        <f>C16/'- 7 -'!H16</f>
        <v>42.4311247723133</v>
      </c>
      <c r="F16" s="406">
        <v>1374345</v>
      </c>
      <c r="G16" s="352">
        <f>F16/'- 3 -'!E16</f>
        <v>0.02372989027577208</v>
      </c>
      <c r="H16" s="406">
        <f>F16/'- 7 -'!H16</f>
        <v>156.46004098360655</v>
      </c>
      <c r="I16" s="406">
        <v>1039746</v>
      </c>
      <c r="J16" s="352">
        <f>I16/'- 3 -'!E16</f>
        <v>0.01795259450478076</v>
      </c>
      <c r="K16" s="406">
        <f>I16/'- 7 -'!H16</f>
        <v>118.3681693989071</v>
      </c>
    </row>
    <row r="17" spans="1:11" ht="12.75">
      <c r="A17" s="11">
        <v>9</v>
      </c>
      <c r="B17" s="12" t="s">
        <v>122</v>
      </c>
      <c r="C17" s="405">
        <v>711365</v>
      </c>
      <c r="D17" s="351">
        <f>C17/'- 3 -'!E17</f>
        <v>0.008726083448572614</v>
      </c>
      <c r="E17" s="405">
        <f>C17/'- 7 -'!H17</f>
        <v>56.74260371549131</v>
      </c>
      <c r="F17" s="405">
        <v>2679018</v>
      </c>
      <c r="G17" s="351">
        <f>F17/'- 3 -'!E17</f>
        <v>0.03286264383014079</v>
      </c>
      <c r="H17" s="405">
        <f>F17/'- 7 -'!H17</f>
        <v>213.6940343152504</v>
      </c>
      <c r="I17" s="405">
        <v>542842</v>
      </c>
      <c r="J17" s="351">
        <f>I17/'- 3 -'!E17</f>
        <v>0.006658866533200333</v>
      </c>
      <c r="K17" s="405">
        <f>I17/'- 7 -'!H17</f>
        <v>43.30023052318393</v>
      </c>
    </row>
    <row r="18" spans="1:11" ht="12.75">
      <c r="A18" s="13">
        <v>10</v>
      </c>
      <c r="B18" s="14" t="s">
        <v>123</v>
      </c>
      <c r="C18" s="406">
        <v>191325</v>
      </c>
      <c r="D18" s="352">
        <f>C18/'- 3 -'!E18</f>
        <v>0.003192953546759301</v>
      </c>
      <c r="E18" s="406">
        <f>C18/'- 7 -'!H18</f>
        <v>22.3340921029592</v>
      </c>
      <c r="F18" s="406">
        <v>1080540.06</v>
      </c>
      <c r="G18" s="352">
        <f>F18/'- 3 -'!E18</f>
        <v>0.0180327412360774</v>
      </c>
      <c r="H18" s="406">
        <f>F18/'- 7 -'!H18</f>
        <v>126.13553493258624</v>
      </c>
      <c r="I18" s="406">
        <v>370408.3</v>
      </c>
      <c r="J18" s="352">
        <f>I18/'- 3 -'!E18</f>
        <v>0.006181609801301885</v>
      </c>
      <c r="K18" s="406">
        <f>I18/'- 7 -'!H18</f>
        <v>43.23916418607366</v>
      </c>
    </row>
    <row r="19" spans="1:11" ht="12.75">
      <c r="A19" s="11">
        <v>11</v>
      </c>
      <c r="B19" s="12" t="s">
        <v>124</v>
      </c>
      <c r="C19" s="405">
        <v>138550</v>
      </c>
      <c r="D19" s="351">
        <f>C19/'- 3 -'!E19</f>
        <v>0.004285750919085549</v>
      </c>
      <c r="E19" s="405">
        <f>C19/'- 7 -'!H19</f>
        <v>29.381825893330507</v>
      </c>
      <c r="F19" s="405">
        <v>446716</v>
      </c>
      <c r="G19" s="351">
        <f>F19/'- 3 -'!E19</f>
        <v>0.013818213695923637</v>
      </c>
      <c r="H19" s="405">
        <f>F19/'- 7 -'!H19</f>
        <v>94.73353833103594</v>
      </c>
      <c r="I19" s="405">
        <v>151807</v>
      </c>
      <c r="J19" s="351">
        <f>I19/'- 3 -'!E19</f>
        <v>0.004695828147048863</v>
      </c>
      <c r="K19" s="405">
        <f>I19/'- 7 -'!H19</f>
        <v>32.193192662496024</v>
      </c>
    </row>
    <row r="20" spans="1:11" ht="12.75">
      <c r="A20" s="13">
        <v>12</v>
      </c>
      <c r="B20" s="14" t="s">
        <v>125</v>
      </c>
      <c r="C20" s="406">
        <v>421027</v>
      </c>
      <c r="D20" s="352">
        <f>C20/'- 3 -'!E20</f>
        <v>0.008128188878810066</v>
      </c>
      <c r="E20" s="406">
        <f>C20/'- 7 -'!H20</f>
        <v>54.54424148205726</v>
      </c>
      <c r="F20" s="406">
        <v>714011</v>
      </c>
      <c r="G20" s="352">
        <f>F20/'- 3 -'!E20</f>
        <v>0.013784427767216959</v>
      </c>
      <c r="H20" s="406">
        <f>F20/'- 7 -'!H20</f>
        <v>92.50045342660967</v>
      </c>
      <c r="I20" s="406">
        <v>442048</v>
      </c>
      <c r="J20" s="352">
        <f>I20/'- 3 -'!E20</f>
        <v>0.008534012397067723</v>
      </c>
      <c r="K20" s="406">
        <f>I20/'- 7 -'!H20</f>
        <v>57.26752169970204</v>
      </c>
    </row>
    <row r="21" spans="1:11" ht="12.75">
      <c r="A21" s="11">
        <v>13</v>
      </c>
      <c r="B21" s="12" t="s">
        <v>126</v>
      </c>
      <c r="C21" s="405">
        <v>61530</v>
      </c>
      <c r="D21" s="351">
        <f>C21/'- 3 -'!E21</f>
        <v>0.003112550651032992</v>
      </c>
      <c r="E21" s="405">
        <f>C21/'- 7 -'!H21</f>
        <v>23.008750280457708</v>
      </c>
      <c r="F21" s="405">
        <v>219982</v>
      </c>
      <c r="G21" s="351">
        <f>F21/'- 3 -'!E21</f>
        <v>0.01112798825476255</v>
      </c>
      <c r="H21" s="405">
        <f>F21/'- 7 -'!H21</f>
        <v>82.26086306185027</v>
      </c>
      <c r="I21" s="405">
        <v>58797</v>
      </c>
      <c r="J21" s="351">
        <f>I21/'- 3 -'!E21</f>
        <v>0.0029742993763820385</v>
      </c>
      <c r="K21" s="405">
        <f>I21/'- 7 -'!H21</f>
        <v>21.98676239623065</v>
      </c>
    </row>
    <row r="22" spans="1:11" ht="12.75">
      <c r="A22" s="13">
        <v>14</v>
      </c>
      <c r="B22" s="14" t="s">
        <v>127</v>
      </c>
      <c r="C22" s="406">
        <v>72826</v>
      </c>
      <c r="D22" s="352">
        <f>C22/'- 3 -'!E22</f>
        <v>0.003166997141741375</v>
      </c>
      <c r="E22" s="406">
        <f>C22/'- 7 -'!H22</f>
        <v>20.715687668894894</v>
      </c>
      <c r="F22" s="406">
        <v>322251</v>
      </c>
      <c r="G22" s="352">
        <f>F22/'- 3 -'!E22</f>
        <v>0.014013786229139315</v>
      </c>
      <c r="H22" s="406">
        <f>F22/'- 7 -'!H22</f>
        <v>91.66576589389845</v>
      </c>
      <c r="I22" s="406">
        <v>178248</v>
      </c>
      <c r="J22" s="352">
        <f>I22/'- 3 -'!E22</f>
        <v>0.007751502300292706</v>
      </c>
      <c r="K22" s="406">
        <f>I22/'- 7 -'!H22</f>
        <v>50.70345612288437</v>
      </c>
    </row>
    <row r="23" spans="1:11" ht="12.75">
      <c r="A23" s="11">
        <v>15</v>
      </c>
      <c r="B23" s="12" t="s">
        <v>128</v>
      </c>
      <c r="C23" s="405">
        <v>54313</v>
      </c>
      <c r="D23" s="351">
        <f>C23/'- 3 -'!E23</f>
        <v>0.0016979507201323723</v>
      </c>
      <c r="E23" s="405">
        <f>C23/'- 7 -'!H23</f>
        <v>9.061227894561227</v>
      </c>
      <c r="F23" s="405">
        <v>470504</v>
      </c>
      <c r="G23" s="351">
        <f>F23/'- 3 -'!E23</f>
        <v>0.014709049502424128</v>
      </c>
      <c r="H23" s="405">
        <f>F23/'- 7 -'!H23</f>
        <v>78.49582916249582</v>
      </c>
      <c r="I23" s="405">
        <v>137887</v>
      </c>
      <c r="J23" s="351">
        <f>I23/'- 3 -'!E23</f>
        <v>0.004310668365711568</v>
      </c>
      <c r="K23" s="405">
        <f>I23/'- 7 -'!H23</f>
        <v>23.00417083750417</v>
      </c>
    </row>
    <row r="24" spans="1:11" ht="12.75">
      <c r="A24" s="13">
        <v>16</v>
      </c>
      <c r="B24" s="14" t="s">
        <v>129</v>
      </c>
      <c r="C24" s="406">
        <v>0</v>
      </c>
      <c r="D24" s="352">
        <f>C24/'- 3 -'!E24</f>
        <v>0</v>
      </c>
      <c r="E24" s="406">
        <f>C24/'- 7 -'!H24</f>
        <v>0</v>
      </c>
      <c r="F24" s="406">
        <v>91635</v>
      </c>
      <c r="G24" s="352">
        <f>F24/'- 3 -'!E24</f>
        <v>0.014827872886415242</v>
      </c>
      <c r="H24" s="406">
        <f>F24/'- 7 -'!H24</f>
        <v>108.98549000951475</v>
      </c>
      <c r="I24" s="406">
        <v>26702</v>
      </c>
      <c r="J24" s="352">
        <f>I24/'- 3 -'!E24</f>
        <v>0.0043207711225302535</v>
      </c>
      <c r="K24" s="406">
        <f>I24/'- 7 -'!H24</f>
        <v>31.757849666983827</v>
      </c>
    </row>
    <row r="25" spans="1:11" ht="12.75">
      <c r="A25" s="11">
        <v>17</v>
      </c>
      <c r="B25" s="12" t="s">
        <v>130</v>
      </c>
      <c r="C25" s="405">
        <v>0</v>
      </c>
      <c r="D25" s="351">
        <f>C25/'- 3 -'!E25</f>
        <v>0</v>
      </c>
      <c r="E25" s="405">
        <f>C25/'- 7 -'!H25</f>
        <v>0</v>
      </c>
      <c r="F25" s="405">
        <v>55935</v>
      </c>
      <c r="G25" s="351">
        <f>F25/'- 3 -'!E25</f>
        <v>0.013436526949286702</v>
      </c>
      <c r="H25" s="405">
        <f>F25/'- 7 -'!H25</f>
        <v>114.62090163934427</v>
      </c>
      <c r="I25" s="405">
        <v>27236</v>
      </c>
      <c r="J25" s="351">
        <f>I25/'- 3 -'!E25</f>
        <v>0.006542544882287881</v>
      </c>
      <c r="K25" s="405">
        <f>I25/'- 7 -'!H25</f>
        <v>55.81147540983606</v>
      </c>
    </row>
    <row r="26" spans="1:11" ht="12.75">
      <c r="A26" s="13">
        <v>18</v>
      </c>
      <c r="B26" s="14" t="s">
        <v>131</v>
      </c>
      <c r="C26" s="406">
        <v>0</v>
      </c>
      <c r="D26" s="352">
        <f>C26/'- 3 -'!E26</f>
        <v>0</v>
      </c>
      <c r="E26" s="406">
        <f>C26/'- 7 -'!H26</f>
        <v>0</v>
      </c>
      <c r="F26" s="406">
        <v>112796</v>
      </c>
      <c r="G26" s="352">
        <f>F26/'- 3 -'!E26</f>
        <v>0.01174484427643358</v>
      </c>
      <c r="H26" s="406">
        <f>F26/'- 7 -'!H26</f>
        <v>76.70588235294117</v>
      </c>
      <c r="I26" s="406">
        <v>59450</v>
      </c>
      <c r="J26" s="352">
        <f>I26/'- 3 -'!E26</f>
        <v>0.006190210576917411</v>
      </c>
      <c r="K26" s="406">
        <f>I26/'- 7 -'!H26</f>
        <v>40.42842570554233</v>
      </c>
    </row>
    <row r="27" spans="1:11" ht="12.75">
      <c r="A27" s="11">
        <v>19</v>
      </c>
      <c r="B27" s="12" t="s">
        <v>132</v>
      </c>
      <c r="C27" s="405">
        <v>0</v>
      </c>
      <c r="D27" s="351">
        <f>C27/'- 3 -'!E27</f>
        <v>0</v>
      </c>
      <c r="E27" s="405">
        <f>C27/'- 7 -'!H27</f>
        <v>0</v>
      </c>
      <c r="F27" s="405">
        <v>161627</v>
      </c>
      <c r="G27" s="351">
        <f>F27/'- 3 -'!E27</f>
        <v>0.010995452843120068</v>
      </c>
      <c r="H27" s="405">
        <f>F27/'- 7 -'!H27</f>
        <v>86.9663707290826</v>
      </c>
      <c r="I27" s="405">
        <v>93022</v>
      </c>
      <c r="J27" s="351">
        <f>I27/'- 3 -'!E27</f>
        <v>0.006328268261940857</v>
      </c>
      <c r="K27" s="405">
        <f>I27/'- 7 -'!H27</f>
        <v>50.052192628463814</v>
      </c>
    </row>
    <row r="28" spans="1:11" ht="12.75">
      <c r="A28" s="13">
        <v>20</v>
      </c>
      <c r="B28" s="14" t="s">
        <v>133</v>
      </c>
      <c r="C28" s="406">
        <v>0</v>
      </c>
      <c r="D28" s="352">
        <f>C28/'- 3 -'!E28</f>
        <v>0</v>
      </c>
      <c r="E28" s="406">
        <f>C28/'- 7 -'!H28</f>
        <v>0</v>
      </c>
      <c r="F28" s="406">
        <v>80480</v>
      </c>
      <c r="G28" s="352">
        <f>F28/'- 3 -'!E28</f>
        <v>0.010646768709665343</v>
      </c>
      <c r="H28" s="406">
        <f>F28/'- 7 -'!H28</f>
        <v>84.31639601885804</v>
      </c>
      <c r="I28" s="406">
        <v>45660</v>
      </c>
      <c r="J28" s="352">
        <f>I28/'- 3 -'!E28</f>
        <v>0.006040400836025342</v>
      </c>
      <c r="K28" s="406">
        <f>I28/'- 7 -'!H28</f>
        <v>47.8365636458879</v>
      </c>
    </row>
    <row r="29" spans="1:11" ht="12.75">
      <c r="A29" s="11">
        <v>21</v>
      </c>
      <c r="B29" s="12" t="s">
        <v>134</v>
      </c>
      <c r="C29" s="405">
        <v>146690</v>
      </c>
      <c r="D29" s="351">
        <f>C29/'- 3 -'!E29</f>
        <v>0.00657640610188628</v>
      </c>
      <c r="E29" s="405">
        <f>C29/'- 7 -'!H29</f>
        <v>42.748069357423866</v>
      </c>
      <c r="F29" s="405">
        <v>397380</v>
      </c>
      <c r="G29" s="351">
        <f>F29/'- 3 -'!E29</f>
        <v>0.017815340219289454</v>
      </c>
      <c r="H29" s="405">
        <f>F29/'- 7 -'!H29</f>
        <v>115.80358443829229</v>
      </c>
      <c r="I29" s="405">
        <v>117545</v>
      </c>
      <c r="J29" s="351">
        <f>I29/'- 3 -'!E29</f>
        <v>0.005269777457537819</v>
      </c>
      <c r="K29" s="405">
        <f>I29/'- 7 -'!H29</f>
        <v>34.25469911117587</v>
      </c>
    </row>
    <row r="30" spans="1:11" ht="12.75">
      <c r="A30" s="13">
        <v>22</v>
      </c>
      <c r="B30" s="14" t="s">
        <v>135</v>
      </c>
      <c r="C30" s="406">
        <v>131762</v>
      </c>
      <c r="D30" s="352">
        <f>C30/'- 3 -'!E30</f>
        <v>0.011193118545270065</v>
      </c>
      <c r="E30" s="406">
        <f>C30/'- 7 -'!H30</f>
        <v>74.63154913622203</v>
      </c>
      <c r="F30" s="406">
        <v>132847</v>
      </c>
      <c r="G30" s="352">
        <f>F30/'- 3 -'!E30</f>
        <v>0.011285288773572748</v>
      </c>
      <c r="H30" s="406">
        <f>F30/'- 7 -'!H30</f>
        <v>75.24610591900311</v>
      </c>
      <c r="I30" s="406">
        <v>56068</v>
      </c>
      <c r="J30" s="352">
        <f>I30/'- 3 -'!E30</f>
        <v>0.004762949640990589</v>
      </c>
      <c r="K30" s="406">
        <f>I30/'- 7 -'!H30</f>
        <v>31.757575757575758</v>
      </c>
    </row>
    <row r="31" spans="1:11" ht="12.75">
      <c r="A31" s="11">
        <v>23</v>
      </c>
      <c r="B31" s="12" t="s">
        <v>136</v>
      </c>
      <c r="C31" s="405">
        <v>39146</v>
      </c>
      <c r="D31" s="351">
        <f>C31/'- 3 -'!E31</f>
        <v>0.003870355642437907</v>
      </c>
      <c r="E31" s="405">
        <f>C31/'- 7 -'!H31</f>
        <v>27.222531293463142</v>
      </c>
      <c r="F31" s="405">
        <v>151589</v>
      </c>
      <c r="G31" s="351">
        <f>F31/'- 3 -'!E31</f>
        <v>0.01498756811632146</v>
      </c>
      <c r="H31" s="405">
        <f>F31/'- 7 -'!H31</f>
        <v>105.41655076495132</v>
      </c>
      <c r="I31" s="405">
        <v>71701</v>
      </c>
      <c r="J31" s="351">
        <f>I31/'- 3 -'!E31</f>
        <v>0.007089060693773064</v>
      </c>
      <c r="K31" s="405">
        <f>I31/'- 7 -'!H31</f>
        <v>49.86161335187761</v>
      </c>
    </row>
    <row r="32" spans="1:11" ht="12.75">
      <c r="A32" s="13">
        <v>24</v>
      </c>
      <c r="B32" s="14" t="s">
        <v>137</v>
      </c>
      <c r="C32" s="406">
        <v>30260</v>
      </c>
      <c r="D32" s="352">
        <f>C32/'- 3 -'!E32</f>
        <v>0.001331212016630032</v>
      </c>
      <c r="E32" s="406">
        <f>C32/'- 7 -'!H32</f>
        <v>8.46907360761265</v>
      </c>
      <c r="F32" s="406">
        <v>418394</v>
      </c>
      <c r="G32" s="352">
        <f>F32/'- 3 -'!E32</f>
        <v>0.01840618375696978</v>
      </c>
      <c r="H32" s="406">
        <f>F32/'- 7 -'!H32</f>
        <v>117.09879652952701</v>
      </c>
      <c r="I32" s="406">
        <v>100122</v>
      </c>
      <c r="J32" s="352">
        <f>I32/'- 3 -'!E32</f>
        <v>0.004404613665863584</v>
      </c>
      <c r="K32" s="406">
        <f>I32/'- 7 -'!H32</f>
        <v>28.021830394626363</v>
      </c>
    </row>
    <row r="33" spans="1:11" ht="12.75">
      <c r="A33" s="11">
        <v>25</v>
      </c>
      <c r="B33" s="12" t="s">
        <v>138</v>
      </c>
      <c r="C33" s="405">
        <v>0</v>
      </c>
      <c r="D33" s="351">
        <f>C33/'- 3 -'!E33</f>
        <v>0</v>
      </c>
      <c r="E33" s="405">
        <f>C33/'- 7 -'!H33</f>
        <v>0</v>
      </c>
      <c r="F33" s="405">
        <v>132851</v>
      </c>
      <c r="G33" s="351">
        <f>F33/'- 3 -'!E33</f>
        <v>0.012642547576446155</v>
      </c>
      <c r="H33" s="405">
        <f>F33/'- 7 -'!H33</f>
        <v>91.04996230553081</v>
      </c>
      <c r="I33" s="405">
        <v>53840</v>
      </c>
      <c r="J33" s="351">
        <f>I33/'- 3 -'!E33</f>
        <v>0.0051235953174297594</v>
      </c>
      <c r="K33" s="405">
        <f>I33/'- 7 -'!H33</f>
        <v>36.89945857035159</v>
      </c>
    </row>
    <row r="34" spans="1:11" ht="12.75">
      <c r="A34" s="13">
        <v>26</v>
      </c>
      <c r="B34" s="14" t="s">
        <v>139</v>
      </c>
      <c r="C34" s="406">
        <v>0</v>
      </c>
      <c r="D34" s="352">
        <f>C34/'- 3 -'!E34</f>
        <v>0</v>
      </c>
      <c r="E34" s="406">
        <f>C34/'- 7 -'!H34</f>
        <v>0</v>
      </c>
      <c r="F34" s="406">
        <v>266432</v>
      </c>
      <c r="G34" s="352">
        <f>F34/'- 3 -'!E34</f>
        <v>0.016426779611463306</v>
      </c>
      <c r="H34" s="406">
        <f>F34/'- 7 -'!H34</f>
        <v>93.71179346487989</v>
      </c>
      <c r="I34" s="406">
        <v>90247</v>
      </c>
      <c r="J34" s="352">
        <f>I34/'- 3 -'!E34</f>
        <v>0.005564149875374313</v>
      </c>
      <c r="K34" s="406">
        <f>I34/'- 7 -'!H34</f>
        <v>31.742464211600016</v>
      </c>
    </row>
    <row r="35" spans="1:11" ht="12.75">
      <c r="A35" s="11">
        <v>28</v>
      </c>
      <c r="B35" s="12" t="s">
        <v>140</v>
      </c>
      <c r="C35" s="405">
        <v>0</v>
      </c>
      <c r="D35" s="351">
        <f>C35/'- 3 -'!E35</f>
        <v>0</v>
      </c>
      <c r="E35" s="405">
        <f>C35/'- 7 -'!H35</f>
        <v>0</v>
      </c>
      <c r="F35" s="405">
        <v>68052</v>
      </c>
      <c r="G35" s="351">
        <f>F35/'- 3 -'!E35</f>
        <v>0.010683908622532195</v>
      </c>
      <c r="H35" s="405">
        <f>F35/'- 7 -'!H35</f>
        <v>77.21599419053238</v>
      </c>
      <c r="I35" s="405">
        <v>26567</v>
      </c>
      <c r="J35" s="351">
        <f>I35/'- 3 -'!E35</f>
        <v>0.004170919302515912</v>
      </c>
      <c r="K35" s="405">
        <f>I35/'- 7 -'!H35</f>
        <v>30.14455589343258</v>
      </c>
    </row>
    <row r="36" spans="1:11" ht="12.75">
      <c r="A36" s="13">
        <v>30</v>
      </c>
      <c r="B36" s="14" t="s">
        <v>141</v>
      </c>
      <c r="C36" s="406">
        <v>0</v>
      </c>
      <c r="D36" s="352">
        <f>C36/'- 3 -'!E36</f>
        <v>0</v>
      </c>
      <c r="E36" s="406">
        <f>C36/'- 7 -'!H36</f>
        <v>0</v>
      </c>
      <c r="F36" s="406">
        <v>185750</v>
      </c>
      <c r="G36" s="352">
        <f>F36/'- 3 -'!E36</f>
        <v>0.02010510287534901</v>
      </c>
      <c r="H36" s="406">
        <f>F36/'- 7 -'!H36</f>
        <v>142.6980102942306</v>
      </c>
      <c r="I36" s="406">
        <v>80368</v>
      </c>
      <c r="J36" s="352">
        <f>I36/'- 3 -'!E36</f>
        <v>0.008698825883639566</v>
      </c>
      <c r="K36" s="406">
        <f>I36/'- 7 -'!H36</f>
        <v>61.74080049166474</v>
      </c>
    </row>
    <row r="37" spans="1:11" ht="12.75">
      <c r="A37" s="11">
        <v>31</v>
      </c>
      <c r="B37" s="12" t="s">
        <v>142</v>
      </c>
      <c r="C37" s="405">
        <v>0</v>
      </c>
      <c r="D37" s="351">
        <f>C37/'- 3 -'!E37</f>
        <v>0</v>
      </c>
      <c r="E37" s="405">
        <f>C37/'- 7 -'!H37</f>
        <v>0</v>
      </c>
      <c r="F37" s="405">
        <v>166594</v>
      </c>
      <c r="G37" s="351">
        <f>F37/'- 3 -'!E37</f>
        <v>0.015483962832689477</v>
      </c>
      <c r="H37" s="405">
        <f>F37/'- 7 -'!H37</f>
        <v>100.90490611750454</v>
      </c>
      <c r="I37" s="405">
        <v>68859</v>
      </c>
      <c r="J37" s="351">
        <f>I37/'- 3 -'!E37</f>
        <v>0.006400051602675755</v>
      </c>
      <c r="K37" s="405">
        <f>I37/'- 7 -'!H37</f>
        <v>41.707450030284676</v>
      </c>
    </row>
    <row r="38" spans="1:11" ht="12.75">
      <c r="A38" s="13">
        <v>32</v>
      </c>
      <c r="B38" s="14" t="s">
        <v>143</v>
      </c>
      <c r="C38" s="406">
        <v>0</v>
      </c>
      <c r="D38" s="352">
        <f>C38/'- 3 -'!E38</f>
        <v>0</v>
      </c>
      <c r="E38" s="406">
        <f>C38/'- 7 -'!H38</f>
        <v>0</v>
      </c>
      <c r="F38" s="406">
        <v>80411</v>
      </c>
      <c r="G38" s="352">
        <f>F38/'- 3 -'!E38</f>
        <v>0.012676382791719005</v>
      </c>
      <c r="H38" s="406">
        <f>F38/'- 7 -'!H38</f>
        <v>96.99758745476478</v>
      </c>
      <c r="I38" s="406">
        <v>36715</v>
      </c>
      <c r="J38" s="352">
        <f>I38/'- 3 -'!E38</f>
        <v>0.005787931927198558</v>
      </c>
      <c r="K38" s="406">
        <f>I38/'- 7 -'!H38</f>
        <v>44.28829915560917</v>
      </c>
    </row>
    <row r="39" spans="1:11" ht="12.75">
      <c r="A39" s="11">
        <v>33</v>
      </c>
      <c r="B39" s="12" t="s">
        <v>144</v>
      </c>
      <c r="C39" s="405">
        <v>22561</v>
      </c>
      <c r="D39" s="351">
        <f>C39/'- 3 -'!E39</f>
        <v>0.0017353247147821036</v>
      </c>
      <c r="E39" s="405">
        <f>C39/'- 7 -'!H39</f>
        <v>11.855491329479769</v>
      </c>
      <c r="F39" s="405">
        <v>233369</v>
      </c>
      <c r="G39" s="351">
        <f>F39/'- 3 -'!E39</f>
        <v>0.017950046246353654</v>
      </c>
      <c r="H39" s="405">
        <f>F39/'- 7 -'!H39</f>
        <v>122.63215974776668</v>
      </c>
      <c r="I39" s="405">
        <v>66882</v>
      </c>
      <c r="J39" s="351">
        <f>I39/'- 3 -'!E39</f>
        <v>0.005144363617484006</v>
      </c>
      <c r="K39" s="405">
        <f>I39/'- 7 -'!H39</f>
        <v>35.14555964266947</v>
      </c>
    </row>
    <row r="40" spans="1:11" ht="12.75">
      <c r="A40" s="13">
        <v>34</v>
      </c>
      <c r="B40" s="14" t="s">
        <v>145</v>
      </c>
      <c r="C40" s="406">
        <v>0</v>
      </c>
      <c r="D40" s="352">
        <f>C40/'- 3 -'!E40</f>
        <v>0</v>
      </c>
      <c r="E40" s="406">
        <f>C40/'- 7 -'!H40</f>
        <v>0</v>
      </c>
      <c r="F40" s="406">
        <v>68894.99</v>
      </c>
      <c r="G40" s="352">
        <f>F40/'- 3 -'!E40</f>
        <v>0.01190179037451914</v>
      </c>
      <c r="H40" s="406">
        <f>F40/'- 7 -'!H40</f>
        <v>93.99043656207368</v>
      </c>
      <c r="I40" s="406">
        <v>34861.19</v>
      </c>
      <c r="J40" s="352">
        <f>I40/'- 3 -'!E40</f>
        <v>0.006022362084474981</v>
      </c>
      <c r="K40" s="406">
        <f>I40/'- 7 -'!H40</f>
        <v>47.55960436562074</v>
      </c>
    </row>
    <row r="41" spans="1:11" ht="12.75">
      <c r="A41" s="11">
        <v>35</v>
      </c>
      <c r="B41" s="12" t="s">
        <v>146</v>
      </c>
      <c r="C41" s="405">
        <v>75929</v>
      </c>
      <c r="D41" s="351">
        <f>C41/'- 3 -'!E41</f>
        <v>0.005455139642375058</v>
      </c>
      <c r="E41" s="405">
        <f>C41/'- 7 -'!H41</f>
        <v>39.46823994178189</v>
      </c>
      <c r="F41" s="405">
        <v>241029</v>
      </c>
      <c r="G41" s="351">
        <f>F41/'- 3 -'!E41</f>
        <v>0.0173167940162786</v>
      </c>
      <c r="H41" s="405">
        <f>F41/'- 7 -'!H41</f>
        <v>125.28797172263228</v>
      </c>
      <c r="I41" s="405">
        <v>84075</v>
      </c>
      <c r="J41" s="351">
        <f>I41/'- 3 -'!E41</f>
        <v>0.0060403912264442175</v>
      </c>
      <c r="K41" s="405">
        <f>I41/'- 7 -'!H41</f>
        <v>43.702567834494225</v>
      </c>
    </row>
    <row r="42" spans="1:11" ht="12.75">
      <c r="A42" s="13">
        <v>36</v>
      </c>
      <c r="B42" s="14" t="s">
        <v>147</v>
      </c>
      <c r="C42" s="406">
        <v>121514.59</v>
      </c>
      <c r="D42" s="352">
        <f>C42/'- 3 -'!E42</f>
        <v>0.0151634120187315</v>
      </c>
      <c r="E42" s="406">
        <f>C42/'- 7 -'!H42</f>
        <v>120.49042141794745</v>
      </c>
      <c r="F42" s="406">
        <v>110837</v>
      </c>
      <c r="G42" s="352">
        <f>F42/'- 3 -'!E42</f>
        <v>0.013830990154516781</v>
      </c>
      <c r="H42" s="406">
        <f>F42/'- 7 -'!H42</f>
        <v>109.902825979177</v>
      </c>
      <c r="I42" s="406">
        <v>72470.91</v>
      </c>
      <c r="J42" s="352">
        <f>I42/'- 3 -'!E42</f>
        <v>0.009043410076949681</v>
      </c>
      <c r="K42" s="406">
        <f>I42/'- 7 -'!H42</f>
        <v>71.86009915716411</v>
      </c>
    </row>
    <row r="43" spans="1:11" ht="12.75">
      <c r="A43" s="11">
        <v>37</v>
      </c>
      <c r="B43" s="12" t="s">
        <v>148</v>
      </c>
      <c r="C43" s="405">
        <v>10102</v>
      </c>
      <c r="D43" s="351">
        <f>C43/'- 3 -'!E43</f>
        <v>0.0014699357241720996</v>
      </c>
      <c r="E43" s="405">
        <f>C43/'- 7 -'!H43</f>
        <v>10.490134994807892</v>
      </c>
      <c r="F43" s="405">
        <v>95113</v>
      </c>
      <c r="G43" s="351">
        <f>F43/'- 3 -'!E43</f>
        <v>0.013839833353116303</v>
      </c>
      <c r="H43" s="405">
        <f>F43/'- 7 -'!H43</f>
        <v>98.76739356178608</v>
      </c>
      <c r="I43" s="405">
        <v>35794</v>
      </c>
      <c r="J43" s="351">
        <f>I43/'- 3 -'!E43</f>
        <v>0.005208362632252636</v>
      </c>
      <c r="K43" s="405">
        <f>I43/'- 7 -'!H43</f>
        <v>37.16926272066459</v>
      </c>
    </row>
    <row r="44" spans="1:11" ht="12.75">
      <c r="A44" s="13">
        <v>38</v>
      </c>
      <c r="B44" s="14" t="s">
        <v>149</v>
      </c>
      <c r="C44" s="406">
        <v>3518</v>
      </c>
      <c r="D44" s="352">
        <f>C44/'- 3 -'!E44</f>
        <v>0.0003937903360851644</v>
      </c>
      <c r="E44" s="406">
        <f>C44/'- 7 -'!H44</f>
        <v>3.011986301369863</v>
      </c>
      <c r="F44" s="406">
        <v>128496</v>
      </c>
      <c r="G44" s="352">
        <f>F44/'- 3 -'!E44</f>
        <v>0.01438330955815784</v>
      </c>
      <c r="H44" s="406">
        <f>F44/'- 7 -'!H44</f>
        <v>110.01369863013699</v>
      </c>
      <c r="I44" s="406">
        <v>73253</v>
      </c>
      <c r="J44" s="352">
        <f>I44/'- 3 -'!E44</f>
        <v>0.008199637148734095</v>
      </c>
      <c r="K44" s="406">
        <f>I44/'- 7 -'!H44</f>
        <v>62.7166095890411</v>
      </c>
    </row>
    <row r="45" spans="1:11" ht="12.75">
      <c r="A45" s="11">
        <v>39</v>
      </c>
      <c r="B45" s="12" t="s">
        <v>150</v>
      </c>
      <c r="C45" s="405">
        <v>49986</v>
      </c>
      <c r="D45" s="351">
        <f>C45/'- 3 -'!E45</f>
        <v>0.0033497941410568517</v>
      </c>
      <c r="E45" s="405">
        <f>C45/'- 7 -'!H45</f>
        <v>23.578301886792453</v>
      </c>
      <c r="F45" s="405">
        <v>212636</v>
      </c>
      <c r="G45" s="351">
        <f>F45/'- 3 -'!E45</f>
        <v>0.014249726462964926</v>
      </c>
      <c r="H45" s="405">
        <f>F45/'- 7 -'!H45</f>
        <v>100.3</v>
      </c>
      <c r="I45" s="405">
        <v>70031</v>
      </c>
      <c r="J45" s="351">
        <f>I45/'- 3 -'!E45</f>
        <v>0.0046931027386138595</v>
      </c>
      <c r="K45" s="405">
        <f>I45/'- 7 -'!H45</f>
        <v>33.033490566037734</v>
      </c>
    </row>
    <row r="46" spans="1:11" ht="12.75">
      <c r="A46" s="13">
        <v>40</v>
      </c>
      <c r="B46" s="14" t="s">
        <v>151</v>
      </c>
      <c r="C46" s="406">
        <v>121795</v>
      </c>
      <c r="D46" s="352">
        <f>C46/'- 3 -'!E46</f>
        <v>0.0027186891862243053</v>
      </c>
      <c r="E46" s="406">
        <f>C46/'- 7 -'!H46</f>
        <v>16.45655992433455</v>
      </c>
      <c r="F46" s="406">
        <v>874351</v>
      </c>
      <c r="G46" s="352">
        <f>F46/'- 3 -'!E46</f>
        <v>0.019517128032057206</v>
      </c>
      <c r="H46" s="406">
        <f>F46/'- 7 -'!H46</f>
        <v>118.13957573300905</v>
      </c>
      <c r="I46" s="406">
        <v>407047</v>
      </c>
      <c r="J46" s="352">
        <f>I46/'- 3 -'!E46</f>
        <v>0.009086040290529535</v>
      </c>
      <c r="K46" s="406">
        <f>I46/'- 7 -'!H46</f>
        <v>54.99891906499122</v>
      </c>
    </row>
    <row r="47" spans="1:11" ht="12.75">
      <c r="A47" s="11">
        <v>41</v>
      </c>
      <c r="B47" s="12" t="s">
        <v>152</v>
      </c>
      <c r="C47" s="405">
        <v>63879</v>
      </c>
      <c r="D47" s="351">
        <f>C47/'- 3 -'!E47</f>
        <v>0.005204636761915672</v>
      </c>
      <c r="E47" s="405">
        <f>C47/'- 7 -'!H47</f>
        <v>38.5812647218699</v>
      </c>
      <c r="F47" s="405">
        <v>159350</v>
      </c>
      <c r="G47" s="351">
        <f>F47/'- 3 -'!E47</f>
        <v>0.012983278824202983</v>
      </c>
      <c r="H47" s="405">
        <f>F47/'- 7 -'!H47</f>
        <v>96.2432807875823</v>
      </c>
      <c r="I47" s="405">
        <v>60282</v>
      </c>
      <c r="J47" s="351">
        <f>I47/'- 3 -'!E47</f>
        <v>0.004911565824164445</v>
      </c>
      <c r="K47" s="405">
        <f>I47/'- 7 -'!H47</f>
        <v>36.40876970465664</v>
      </c>
    </row>
    <row r="48" spans="1:11" ht="12.75">
      <c r="A48" s="13">
        <v>42</v>
      </c>
      <c r="B48" s="14" t="s">
        <v>153</v>
      </c>
      <c r="C48" s="406">
        <v>0</v>
      </c>
      <c r="D48" s="352">
        <f>C48/'- 3 -'!E48</f>
        <v>0</v>
      </c>
      <c r="E48" s="406">
        <f>C48/'- 7 -'!H48</f>
        <v>0</v>
      </c>
      <c r="F48" s="406">
        <v>101678</v>
      </c>
      <c r="G48" s="352">
        <f>F48/'- 3 -'!E48</f>
        <v>0.013155038175978231</v>
      </c>
      <c r="H48" s="406">
        <f>F48/'- 7 -'!H48</f>
        <v>96.19489120151371</v>
      </c>
      <c r="I48" s="406">
        <v>42945</v>
      </c>
      <c r="J48" s="352">
        <f>I48/'- 3 -'!E48</f>
        <v>0.005556198139886555</v>
      </c>
      <c r="K48" s="406">
        <f>I48/'- 7 -'!H48</f>
        <v>40.629139072847686</v>
      </c>
    </row>
    <row r="49" spans="1:11" ht="12.75">
      <c r="A49" s="11">
        <v>43</v>
      </c>
      <c r="B49" s="12" t="s">
        <v>154</v>
      </c>
      <c r="C49" s="405">
        <v>0</v>
      </c>
      <c r="D49" s="351">
        <f>C49/'- 3 -'!E49</f>
        <v>0</v>
      </c>
      <c r="E49" s="405">
        <f>C49/'- 7 -'!H49</f>
        <v>0</v>
      </c>
      <c r="F49" s="405">
        <v>77466</v>
      </c>
      <c r="G49" s="351">
        <f>F49/'- 3 -'!E49</f>
        <v>0.012183157845072306</v>
      </c>
      <c r="H49" s="405">
        <f>F49/'- 7 -'!H49</f>
        <v>99.5067437379576</v>
      </c>
      <c r="I49" s="405">
        <v>36240</v>
      </c>
      <c r="J49" s="351">
        <f>I49/'- 3 -'!E49</f>
        <v>0.005699502237180445</v>
      </c>
      <c r="K49" s="405">
        <f>I49/'- 7 -'!H49</f>
        <v>46.55105973025048</v>
      </c>
    </row>
    <row r="50" spans="1:11" ht="12.75">
      <c r="A50" s="13">
        <v>44</v>
      </c>
      <c r="B50" s="14" t="s">
        <v>155</v>
      </c>
      <c r="C50" s="406">
        <v>5117</v>
      </c>
      <c r="D50" s="352">
        <f>C50/'- 3 -'!E50</f>
        <v>0.0005531261627053523</v>
      </c>
      <c r="E50" s="406">
        <f>C50/'- 7 -'!H50</f>
        <v>4.114997989545637</v>
      </c>
      <c r="F50" s="406">
        <v>134728</v>
      </c>
      <c r="G50" s="352">
        <f>F50/'- 3 -'!E50</f>
        <v>0.014563529734017335</v>
      </c>
      <c r="H50" s="406">
        <f>F50/'- 7 -'!H50</f>
        <v>108.34579815038198</v>
      </c>
      <c r="I50" s="406">
        <v>50570</v>
      </c>
      <c r="J50" s="352">
        <f>I50/'- 3 -'!E50</f>
        <v>0.005466404152434955</v>
      </c>
      <c r="K50" s="406">
        <f>I50/'- 7 -'!H50</f>
        <v>40.66747084841174</v>
      </c>
    </row>
    <row r="51" spans="1:11" ht="12.75">
      <c r="A51" s="11">
        <v>45</v>
      </c>
      <c r="B51" s="12" t="s">
        <v>156</v>
      </c>
      <c r="C51" s="405">
        <v>221527</v>
      </c>
      <c r="D51" s="351">
        <f>C51/'- 3 -'!E51</f>
        <v>0.018369644408688122</v>
      </c>
      <c r="E51" s="405">
        <f>C51/'- 7 -'!H51</f>
        <v>117.57709251101322</v>
      </c>
      <c r="F51" s="405">
        <v>195391</v>
      </c>
      <c r="G51" s="351">
        <f>F51/'- 3 -'!E51</f>
        <v>0.016202373483403743</v>
      </c>
      <c r="H51" s="405">
        <f>F51/'- 7 -'!H51</f>
        <v>103.70521734515154</v>
      </c>
      <c r="I51" s="405">
        <v>78303</v>
      </c>
      <c r="J51" s="351">
        <f>I51/'- 3 -'!E51</f>
        <v>0.006493105879344306</v>
      </c>
      <c r="K51" s="405">
        <f>I51/'- 7 -'!H51</f>
        <v>41.559895971551406</v>
      </c>
    </row>
    <row r="52" spans="1:11" ht="12.75">
      <c r="A52" s="13">
        <v>46</v>
      </c>
      <c r="B52" s="14" t="s">
        <v>157</v>
      </c>
      <c r="C52" s="406">
        <v>82406</v>
      </c>
      <c r="D52" s="352">
        <f>C52/'- 3 -'!E52</f>
        <v>0.007533112961455915</v>
      </c>
      <c r="E52" s="406">
        <f>C52/'- 7 -'!H52</f>
        <v>57.32990121051899</v>
      </c>
      <c r="F52" s="406">
        <v>186282</v>
      </c>
      <c r="G52" s="352">
        <f>F52/'- 3 -'!E52</f>
        <v>0.017028897758487618</v>
      </c>
      <c r="H52" s="406">
        <f>F52/'- 7 -'!H52</f>
        <v>129.5964936691248</v>
      </c>
      <c r="I52" s="406">
        <v>78569</v>
      </c>
      <c r="J52" s="352">
        <f>I52/'- 3 -'!E52</f>
        <v>0.00718235507449251</v>
      </c>
      <c r="K52" s="406">
        <f>I52/'- 7 -'!H52</f>
        <v>54.660498121608455</v>
      </c>
    </row>
    <row r="53" spans="1:11" ht="12.75">
      <c r="A53" s="11">
        <v>47</v>
      </c>
      <c r="B53" s="12" t="s">
        <v>158</v>
      </c>
      <c r="C53" s="405">
        <v>18474</v>
      </c>
      <c r="D53" s="351">
        <f>C53/'- 3 -'!E53</f>
        <v>0.002006029598980849</v>
      </c>
      <c r="E53" s="405">
        <f>C53/'- 7 -'!H53</f>
        <v>12.771517455928102</v>
      </c>
      <c r="F53" s="405">
        <v>147466</v>
      </c>
      <c r="G53" s="351">
        <f>F53/'- 3 -'!E53</f>
        <v>0.016012837547001727</v>
      </c>
      <c r="H53" s="405">
        <f>F53/'- 7 -'!H53</f>
        <v>101.9467680608365</v>
      </c>
      <c r="I53" s="405">
        <v>60966</v>
      </c>
      <c r="J53" s="351">
        <f>I53/'- 3 -'!E53</f>
        <v>0.006620093132589934</v>
      </c>
      <c r="K53" s="405">
        <f>I53/'- 7 -'!H53</f>
        <v>42.14725198755617</v>
      </c>
    </row>
    <row r="54" spans="1:11" ht="12.75">
      <c r="A54" s="13">
        <v>48</v>
      </c>
      <c r="B54" s="14" t="s">
        <v>159</v>
      </c>
      <c r="C54" s="406">
        <v>809417</v>
      </c>
      <c r="D54" s="352">
        <f>C54/'- 3 -'!E54</f>
        <v>0.013627856774603906</v>
      </c>
      <c r="E54" s="406">
        <f>C54/'- 7 -'!H54</f>
        <v>154.83233544388546</v>
      </c>
      <c r="F54" s="406">
        <v>1022685</v>
      </c>
      <c r="G54" s="352">
        <f>F54/'- 3 -'!E54</f>
        <v>0.01721857176898409</v>
      </c>
      <c r="H54" s="406">
        <f>F54/'- 7 -'!H54</f>
        <v>195.62809648602638</v>
      </c>
      <c r="I54" s="406">
        <v>331570</v>
      </c>
      <c r="J54" s="352">
        <f>I54/'- 3 -'!E54</f>
        <v>0.005582522322554897</v>
      </c>
      <c r="K54" s="406">
        <f>I54/'- 7 -'!H54</f>
        <v>63.42559825544695</v>
      </c>
    </row>
    <row r="55" spans="1:11" ht="12.75">
      <c r="A55" s="11">
        <v>49</v>
      </c>
      <c r="B55" s="12" t="s">
        <v>160</v>
      </c>
      <c r="C55" s="405">
        <v>485674</v>
      </c>
      <c r="D55" s="351">
        <f>C55/'- 3 -'!E55</f>
        <v>0.01340771863805512</v>
      </c>
      <c r="E55" s="405">
        <f>C55/'- 7 -'!H55</f>
        <v>113.98657529102516</v>
      </c>
      <c r="F55" s="405">
        <v>984211</v>
      </c>
      <c r="G55" s="351">
        <f>F55/'- 3 -'!E55</f>
        <v>0.027170538609188194</v>
      </c>
      <c r="H55" s="405">
        <f>F55/'- 7 -'!H55</f>
        <v>230.99206721742394</v>
      </c>
      <c r="I55" s="405">
        <v>161041</v>
      </c>
      <c r="J55" s="351">
        <f>I55/'- 3 -'!E55</f>
        <v>0.004445764890010654</v>
      </c>
      <c r="K55" s="405">
        <f>I55/'- 7 -'!H55</f>
        <v>37.7959538114908</v>
      </c>
    </row>
    <row r="56" spans="1:11" ht="12.75">
      <c r="A56" s="13">
        <v>50</v>
      </c>
      <c r="B56" s="14" t="s">
        <v>343</v>
      </c>
      <c r="C56" s="406">
        <v>93778</v>
      </c>
      <c r="D56" s="352">
        <f>C56/'- 3 -'!E56</f>
        <v>0.006505928374430893</v>
      </c>
      <c r="E56" s="406">
        <f>C56/'- 7 -'!H56</f>
        <v>53.213414288146176</v>
      </c>
      <c r="F56" s="406">
        <v>216792</v>
      </c>
      <c r="G56" s="352">
        <f>F56/'- 3 -'!E56</f>
        <v>0.015040129072379685</v>
      </c>
      <c r="H56" s="406">
        <f>F56/'- 7 -'!H56</f>
        <v>123.01651251205811</v>
      </c>
      <c r="I56" s="406">
        <v>80866</v>
      </c>
      <c r="J56" s="352">
        <f>I56/'- 3 -'!E56</f>
        <v>0.005610147411191629</v>
      </c>
      <c r="K56" s="406">
        <f>I56/'- 7 -'!H56</f>
        <v>45.88662543267321</v>
      </c>
    </row>
    <row r="57" spans="1:11" ht="12.75">
      <c r="A57" s="11">
        <v>2264</v>
      </c>
      <c r="B57" s="12" t="s">
        <v>161</v>
      </c>
      <c r="C57" s="405">
        <v>3958</v>
      </c>
      <c r="D57" s="351">
        <f>C57/'- 3 -'!E57</f>
        <v>0.0018800702431863259</v>
      </c>
      <c r="E57" s="405">
        <f>C57/'- 7 -'!H57</f>
        <v>20.142493638676847</v>
      </c>
      <c r="F57" s="405">
        <v>44879</v>
      </c>
      <c r="G57" s="351">
        <f>F57/'- 3 -'!E57</f>
        <v>0.021317754533592498</v>
      </c>
      <c r="H57" s="405">
        <f>F57/'- 7 -'!H57</f>
        <v>228.39185750636133</v>
      </c>
      <c r="I57" s="405">
        <v>7035</v>
      </c>
      <c r="J57" s="351">
        <f>I57/'- 3 -'!E57</f>
        <v>0.003341660980499192</v>
      </c>
      <c r="K57" s="405">
        <f>I57/'- 7 -'!H57</f>
        <v>35.80152671755725</v>
      </c>
    </row>
    <row r="58" spans="1:11" ht="12.75">
      <c r="A58" s="13">
        <v>2309</v>
      </c>
      <c r="B58" s="14" t="s">
        <v>162</v>
      </c>
      <c r="C58" s="406">
        <v>0</v>
      </c>
      <c r="D58" s="352">
        <f>C58/'- 3 -'!E58</f>
        <v>0</v>
      </c>
      <c r="E58" s="406">
        <f>C58/'- 7 -'!H58</f>
        <v>0</v>
      </c>
      <c r="F58" s="406">
        <v>23116</v>
      </c>
      <c r="G58" s="352">
        <f>F58/'- 3 -'!E58</f>
        <v>0.010204955557498011</v>
      </c>
      <c r="H58" s="406">
        <f>F58/'- 7 -'!H58</f>
        <v>88.66896816263905</v>
      </c>
      <c r="I58" s="406">
        <v>15818</v>
      </c>
      <c r="J58" s="352">
        <f>I58/'- 3 -'!E58</f>
        <v>0.006983128006943396</v>
      </c>
      <c r="K58" s="406">
        <f>I58/'- 7 -'!H58</f>
        <v>60.67510548523207</v>
      </c>
    </row>
    <row r="59" spans="1:11" ht="12.75">
      <c r="A59" s="11">
        <v>2312</v>
      </c>
      <c r="B59" s="12" t="s">
        <v>163</v>
      </c>
      <c r="C59" s="405">
        <v>0</v>
      </c>
      <c r="D59" s="351">
        <f>C59/'- 3 -'!E59</f>
        <v>0</v>
      </c>
      <c r="E59" s="405">
        <f>C59/'- 7 -'!H59</f>
        <v>0</v>
      </c>
      <c r="F59" s="405">
        <v>26369</v>
      </c>
      <c r="G59" s="351">
        <f>F59/'- 3 -'!E59</f>
        <v>0.013090295687087873</v>
      </c>
      <c r="H59" s="405">
        <f>F59/'- 7 -'!H59</f>
        <v>151.54597701149424</v>
      </c>
      <c r="I59" s="405">
        <v>9017</v>
      </c>
      <c r="J59" s="351">
        <f>I59/'- 3 -'!E59</f>
        <v>0.004476286404887229</v>
      </c>
      <c r="K59" s="405">
        <f>I59/'- 7 -'!H59</f>
        <v>51.82183908045977</v>
      </c>
    </row>
    <row r="60" spans="1:11" ht="12.75">
      <c r="A60" s="13">
        <v>2355</v>
      </c>
      <c r="B60" s="14" t="s">
        <v>164</v>
      </c>
      <c r="C60" s="406">
        <v>158951</v>
      </c>
      <c r="D60" s="352">
        <f>C60/'- 3 -'!E60</f>
        <v>0.006389963020710615</v>
      </c>
      <c r="E60" s="406">
        <f>C60/'- 7 -'!H60</f>
        <v>47.85806762412308</v>
      </c>
      <c r="F60" s="406">
        <v>697800</v>
      </c>
      <c r="G60" s="352">
        <f>F60/'- 3 -'!E60</f>
        <v>0.028052143087189556</v>
      </c>
      <c r="H60" s="406">
        <f>F60/'- 7 -'!H60</f>
        <v>210.09845542408092</v>
      </c>
      <c r="I60" s="406">
        <v>151701</v>
      </c>
      <c r="J60" s="352">
        <f>I60/'- 3 -'!E60</f>
        <v>0.006098506962553372</v>
      </c>
      <c r="K60" s="406">
        <f>I60/'- 7 -'!H60</f>
        <v>45.67518742661006</v>
      </c>
    </row>
    <row r="61" spans="1:11" ht="12.75">
      <c r="A61" s="11">
        <v>2439</v>
      </c>
      <c r="B61" s="12" t="s">
        <v>165</v>
      </c>
      <c r="C61" s="405">
        <v>0</v>
      </c>
      <c r="D61" s="351">
        <f>C61/'- 3 -'!E61</f>
        <v>0</v>
      </c>
      <c r="E61" s="405">
        <f>C61/'- 7 -'!H61</f>
        <v>0</v>
      </c>
      <c r="F61" s="405">
        <v>20517.68</v>
      </c>
      <c r="G61" s="351">
        <f>F61/'- 3 -'!E61</f>
        <v>0.014685041983606649</v>
      </c>
      <c r="H61" s="405">
        <f>F61/'- 7 -'!H61</f>
        <v>131.10338658146966</v>
      </c>
      <c r="I61" s="405">
        <v>7222.65</v>
      </c>
      <c r="J61" s="351">
        <f>I61/'- 3 -'!E61</f>
        <v>0.005169440135673066</v>
      </c>
      <c r="K61" s="405">
        <f>I61/'- 7 -'!H61</f>
        <v>46.15111821086262</v>
      </c>
    </row>
    <row r="62" spans="1:11" ht="12.75">
      <c r="A62" s="13">
        <v>2460</v>
      </c>
      <c r="B62" s="14" t="s">
        <v>166</v>
      </c>
      <c r="C62" s="406">
        <v>0</v>
      </c>
      <c r="D62" s="352">
        <f>C62/'- 3 -'!E62</f>
        <v>0</v>
      </c>
      <c r="E62" s="406">
        <f>C62/'- 7 -'!H62</f>
        <v>0</v>
      </c>
      <c r="F62" s="406">
        <v>36420</v>
      </c>
      <c r="G62" s="352">
        <f>F62/'- 3 -'!E62</f>
        <v>0.011021281180057836</v>
      </c>
      <c r="H62" s="406">
        <f>F62/'- 7 -'!H62</f>
        <v>133.7986774430566</v>
      </c>
      <c r="I62" s="406">
        <v>10188</v>
      </c>
      <c r="J62" s="352">
        <f>I62/'- 3 -'!E62</f>
        <v>0.0030830536151133783</v>
      </c>
      <c r="K62" s="406">
        <f>I62/'- 7 -'!H62</f>
        <v>37.42836149889787</v>
      </c>
    </row>
    <row r="63" spans="1:11" ht="12.75">
      <c r="A63" s="11">
        <v>3000</v>
      </c>
      <c r="B63" s="12" t="s">
        <v>366</v>
      </c>
      <c r="C63" s="405">
        <v>66481</v>
      </c>
      <c r="D63" s="351">
        <f>C63/'- 3 -'!E63</f>
        <v>0.01152805064774948</v>
      </c>
      <c r="E63" s="405">
        <f>C63/'- 7 -'!H63</f>
        <v>99.01846887101578</v>
      </c>
      <c r="F63" s="405">
        <v>46360</v>
      </c>
      <c r="G63" s="351">
        <f>F63/'- 3 -'!E63</f>
        <v>0.008038995021580089</v>
      </c>
      <c r="H63" s="405">
        <f>F63/'- 7 -'!H63</f>
        <v>69.04974679773608</v>
      </c>
      <c r="I63" s="405">
        <v>107508</v>
      </c>
      <c r="J63" s="351">
        <f>I63/'- 3 -'!E63</f>
        <v>0.018642283795945475</v>
      </c>
      <c r="K63" s="405">
        <f>I63/'- 7 -'!H63</f>
        <v>160.12511170688114</v>
      </c>
    </row>
    <row r="64" spans="1:11" ht="4.5" customHeight="1">
      <c r="A64" s="15"/>
      <c r="B64" s="15"/>
      <c r="C64" s="412"/>
      <c r="D64" s="194"/>
      <c r="E64" s="412"/>
      <c r="F64" s="412"/>
      <c r="G64" s="194"/>
      <c r="H64" s="412"/>
      <c r="I64" s="412"/>
      <c r="J64" s="194"/>
      <c r="K64" s="412"/>
    </row>
    <row r="65" spans="1:11" ht="12.75">
      <c r="A65" s="17"/>
      <c r="B65" s="18" t="s">
        <v>167</v>
      </c>
      <c r="C65" s="407">
        <f>SUM(C11:C63)</f>
        <v>6620132.59</v>
      </c>
      <c r="D65" s="100">
        <f>C65/'- 3 -'!E65</f>
        <v>0.005101978698840943</v>
      </c>
      <c r="E65" s="407">
        <f>C65/'- 7 -'!H65</f>
        <v>36.52859991384499</v>
      </c>
      <c r="F65" s="407">
        <f>SUM(F11:F63)</f>
        <v>23881657.73</v>
      </c>
      <c r="G65" s="100">
        <f>F65/'- 3 -'!E65</f>
        <v>0.018405025484764522</v>
      </c>
      <c r="H65" s="407">
        <f>F65/'- 7 -'!H65</f>
        <v>131.7743275740877</v>
      </c>
      <c r="I65" s="407">
        <f>SUM(I11:I63)</f>
        <v>10203182.05</v>
      </c>
      <c r="J65" s="100">
        <f>I65/'- 3 -'!E65</f>
        <v>0.007863349679450495</v>
      </c>
      <c r="K65" s="407">
        <f>I65/'- 7 -'!H65</f>
        <v>56.299167710865255</v>
      </c>
    </row>
    <row r="66" spans="1:11" ht="4.5" customHeight="1">
      <c r="A66" s="15"/>
      <c r="B66" s="15"/>
      <c r="C66" s="412"/>
      <c r="D66" s="194"/>
      <c r="E66" s="412"/>
      <c r="F66" s="412"/>
      <c r="G66" s="194"/>
      <c r="H66" s="412"/>
      <c r="I66" s="412"/>
      <c r="J66" s="194"/>
      <c r="K66" s="412"/>
    </row>
    <row r="67" spans="1:11" ht="12.75">
      <c r="A67" s="13">
        <v>2155</v>
      </c>
      <c r="B67" s="14" t="s">
        <v>168</v>
      </c>
      <c r="C67" s="406">
        <v>0</v>
      </c>
      <c r="D67" s="352">
        <f>C67/'- 3 -'!E67</f>
        <v>0</v>
      </c>
      <c r="E67" s="406">
        <f>C67/'- 7 -'!H67</f>
        <v>0</v>
      </c>
      <c r="F67" s="406">
        <v>12890.1</v>
      </c>
      <c r="G67" s="352">
        <f>F67/'- 3 -'!E67</f>
        <v>0.010772294211853883</v>
      </c>
      <c r="H67" s="406">
        <f>F67/'- 7 -'!H67</f>
        <v>88.28835616438356</v>
      </c>
      <c r="I67" s="406">
        <v>6114.76</v>
      </c>
      <c r="J67" s="352">
        <f>I67/'- 3 -'!E67</f>
        <v>0.0051101227884093724</v>
      </c>
      <c r="K67" s="406">
        <f>I67/'- 7 -'!H67</f>
        <v>41.88191780821918</v>
      </c>
    </row>
    <row r="68" spans="1:11" ht="12.75">
      <c r="A68" s="11">
        <v>2408</v>
      </c>
      <c r="B68" s="12" t="s">
        <v>170</v>
      </c>
      <c r="C68" s="405">
        <v>113</v>
      </c>
      <c r="D68" s="351">
        <f>C68/'- 3 -'!E68</f>
        <v>5.270709222901558E-05</v>
      </c>
      <c r="E68" s="405">
        <f>C68/'- 7 -'!H68</f>
        <v>0.437984496124031</v>
      </c>
      <c r="F68" s="405">
        <v>18139</v>
      </c>
      <c r="G68" s="351">
        <f>F68/'- 3 -'!E68</f>
        <v>0.008460654388868262</v>
      </c>
      <c r="H68" s="405">
        <f>F68/'- 7 -'!H68</f>
        <v>70.3062015503876</v>
      </c>
      <c r="I68" s="405">
        <v>9582</v>
      </c>
      <c r="J68" s="351">
        <f>I68/'- 3 -'!E68</f>
        <v>0.0044693748472427195</v>
      </c>
      <c r="K68" s="405">
        <f>I68/'- 7 -'!H68</f>
        <v>37.13953488372093</v>
      </c>
    </row>
    <row r="69" ht="6.75" customHeight="1"/>
    <row r="70" spans="1:2" ht="12" customHeight="1">
      <c r="A70" s="380" t="s">
        <v>354</v>
      </c>
      <c r="B70" s="4" t="s">
        <v>476</v>
      </c>
    </row>
    <row r="71" spans="1:2" ht="12" customHeight="1">
      <c r="A71" s="4"/>
      <c r="B71" s="4"/>
    </row>
    <row r="72" spans="1:2" ht="12" customHeight="1">
      <c r="A72" s="4"/>
      <c r="B72" s="4"/>
    </row>
    <row r="73" spans="1:2" ht="12" customHeight="1">
      <c r="A73" s="4"/>
      <c r="B73" s="4"/>
    </row>
    <row r="74" spans="1:2" ht="12" customHeight="1">
      <c r="A74" s="4"/>
      <c r="B74" s="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0</v>
      </c>
      <c r="D2" s="196"/>
      <c r="E2" s="196"/>
      <c r="F2" s="196"/>
      <c r="G2" s="196"/>
      <c r="H2" s="196"/>
      <c r="I2" s="211"/>
      <c r="J2" s="227"/>
      <c r="K2" s="216" t="s">
        <v>436</v>
      </c>
    </row>
    <row r="3" spans="1:11" ht="12.75">
      <c r="A3" s="7"/>
      <c r="B3" s="83"/>
      <c r="C3" s="199" t="str">
        <f>YEAR</f>
        <v>OPERATING FUND ACTUAL 2001/2002</v>
      </c>
      <c r="D3" s="199"/>
      <c r="E3" s="199"/>
      <c r="F3" s="199"/>
      <c r="G3" s="199"/>
      <c r="H3" s="199"/>
      <c r="I3" s="212"/>
      <c r="J3" s="212"/>
      <c r="K3" s="217"/>
    </row>
    <row r="4" spans="1:11" ht="12.75">
      <c r="A4" s="8"/>
      <c r="C4" s="139"/>
      <c r="D4" s="139"/>
      <c r="E4" s="139"/>
      <c r="F4" s="139"/>
      <c r="G4" s="139"/>
      <c r="H4" s="139"/>
      <c r="I4" s="139"/>
      <c r="J4" s="139"/>
      <c r="K4" s="139"/>
    </row>
    <row r="5" spans="1:11" ht="16.5">
      <c r="A5" s="8"/>
      <c r="C5" s="330" t="s">
        <v>333</v>
      </c>
      <c r="D5" s="152"/>
      <c r="E5" s="228"/>
      <c r="F5" s="228"/>
      <c r="G5" s="228"/>
      <c r="H5" s="228"/>
      <c r="I5" s="332"/>
      <c r="J5" s="332"/>
      <c r="K5" s="333"/>
    </row>
    <row r="6" spans="1:11" ht="12.75">
      <c r="A6" s="8"/>
      <c r="C6" s="64" t="s">
        <v>24</v>
      </c>
      <c r="D6" s="62"/>
      <c r="E6" s="63"/>
      <c r="F6" s="64" t="s">
        <v>25</v>
      </c>
      <c r="G6" s="62"/>
      <c r="H6" s="63"/>
      <c r="I6" s="64" t="s">
        <v>3</v>
      </c>
      <c r="J6" s="62"/>
      <c r="K6" s="63"/>
    </row>
    <row r="7" spans="3:11" ht="12.75">
      <c r="C7" s="65" t="s">
        <v>55</v>
      </c>
      <c r="D7" s="66"/>
      <c r="E7" s="67"/>
      <c r="F7" s="65" t="s">
        <v>56</v>
      </c>
      <c r="G7" s="66"/>
      <c r="H7" s="67"/>
      <c r="I7" s="65" t="s">
        <v>57</v>
      </c>
      <c r="J7" s="66"/>
      <c r="K7" s="67"/>
    </row>
    <row r="8" spans="1:11" ht="12.75">
      <c r="A8" s="91"/>
      <c r="B8" s="43"/>
      <c r="C8" s="70"/>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4242065</v>
      </c>
      <c r="D11" s="351">
        <f>C11/'- 3 -'!E11</f>
        <v>0.017599476627365506</v>
      </c>
      <c r="E11" s="405">
        <f>C11/'- 7 -'!H11</f>
        <v>137.7593502482683</v>
      </c>
      <c r="F11" s="405">
        <v>101191</v>
      </c>
      <c r="G11" s="351">
        <f>F11/'- 3 -'!E11</f>
        <v>0.0004198211577144016</v>
      </c>
      <c r="H11" s="405">
        <f>F11/'- 7 -'!H11</f>
        <v>3.2861369193948033</v>
      </c>
      <c r="I11" s="405">
        <v>923291</v>
      </c>
      <c r="J11" s="351">
        <f>I11/'- 3 -'!E11</f>
        <v>0.0038305491251918408</v>
      </c>
      <c r="K11" s="405">
        <f>I11/'- 7 -'!H11</f>
        <v>29.98350290485268</v>
      </c>
    </row>
    <row r="12" spans="1:11" ht="12.75">
      <c r="A12" s="13">
        <v>2</v>
      </c>
      <c r="B12" s="14" t="s">
        <v>117</v>
      </c>
      <c r="C12" s="406">
        <v>734277</v>
      </c>
      <c r="D12" s="352">
        <f>C12/'- 3 -'!E12</f>
        <v>0.012219298056137176</v>
      </c>
      <c r="E12" s="406">
        <f>C12/'- 7 -'!H12</f>
        <v>80.32021894863962</v>
      </c>
      <c r="F12" s="406">
        <v>13393</v>
      </c>
      <c r="G12" s="352">
        <f>F12/'- 3 -'!E12</f>
        <v>0.0002228764606079793</v>
      </c>
      <c r="H12" s="406">
        <f>F12/'- 7 -'!H12</f>
        <v>1.465017551113722</v>
      </c>
      <c r="I12" s="406">
        <v>17444</v>
      </c>
      <c r="J12" s="352">
        <f>I12/'- 3 -'!E12</f>
        <v>0.00029029022465807444</v>
      </c>
      <c r="K12" s="406">
        <f>I12/'- 7 -'!H12</f>
        <v>1.9081435198706613</v>
      </c>
    </row>
    <row r="13" spans="1:11" ht="12.75">
      <c r="A13" s="11">
        <v>3</v>
      </c>
      <c r="B13" s="12" t="s">
        <v>118</v>
      </c>
      <c r="C13" s="405">
        <v>718310</v>
      </c>
      <c r="D13" s="351">
        <f>C13/'- 3 -'!E13</f>
        <v>0.017110603996150584</v>
      </c>
      <c r="E13" s="405">
        <f>C13/'- 7 -'!H13</f>
        <v>122.71461518749466</v>
      </c>
      <c r="F13" s="405">
        <v>0</v>
      </c>
      <c r="G13" s="351">
        <f>F13/'- 3 -'!E13</f>
        <v>0</v>
      </c>
      <c r="H13" s="405">
        <f>F13/'- 7 -'!H13</f>
        <v>0</v>
      </c>
      <c r="I13" s="405">
        <v>0</v>
      </c>
      <c r="J13" s="351">
        <f>I13/'- 3 -'!E13</f>
        <v>0</v>
      </c>
      <c r="K13" s="405">
        <f>I13/'- 7 -'!H13</f>
        <v>0</v>
      </c>
    </row>
    <row r="14" spans="1:11" ht="12.75">
      <c r="A14" s="13">
        <v>4</v>
      </c>
      <c r="B14" s="14" t="s">
        <v>119</v>
      </c>
      <c r="C14" s="406">
        <v>938285</v>
      </c>
      <c r="D14" s="352">
        <f>C14/'- 3 -'!E14</f>
        <v>0.02257357084871909</v>
      </c>
      <c r="E14" s="406">
        <f>C14/'- 7 -'!H14</f>
        <v>158.71392807605127</v>
      </c>
      <c r="F14" s="406">
        <v>34780</v>
      </c>
      <c r="G14" s="352">
        <f>F14/'- 3 -'!E14</f>
        <v>0.0008367487427790595</v>
      </c>
      <c r="H14" s="406">
        <f>F14/'- 7 -'!H14</f>
        <v>5.883148956324638</v>
      </c>
      <c r="I14" s="406">
        <v>0</v>
      </c>
      <c r="J14" s="352">
        <f>I14/'- 3 -'!E14</f>
        <v>0</v>
      </c>
      <c r="K14" s="406">
        <f>I14/'- 7 -'!H14</f>
        <v>0</v>
      </c>
    </row>
    <row r="15" spans="1:11" ht="12.75">
      <c r="A15" s="11">
        <v>5</v>
      </c>
      <c r="B15" s="12" t="s">
        <v>120</v>
      </c>
      <c r="C15" s="405">
        <v>1197631</v>
      </c>
      <c r="D15" s="351">
        <f>C15/'- 3 -'!E15</f>
        <v>0.023829812584250813</v>
      </c>
      <c r="E15" s="405">
        <f>C15/'- 7 -'!H15</f>
        <v>166.02173641820423</v>
      </c>
      <c r="F15" s="405">
        <v>0</v>
      </c>
      <c r="G15" s="351">
        <f>F15/'- 3 -'!E15</f>
        <v>0</v>
      </c>
      <c r="H15" s="405">
        <f>F15/'- 7 -'!H15</f>
        <v>0</v>
      </c>
      <c r="I15" s="405">
        <v>0</v>
      </c>
      <c r="J15" s="351">
        <f>I15/'- 3 -'!E15</f>
        <v>0</v>
      </c>
      <c r="K15" s="405">
        <f>I15/'- 7 -'!H15</f>
        <v>0</v>
      </c>
    </row>
    <row r="16" spans="1:11" ht="12.75">
      <c r="A16" s="13">
        <v>6</v>
      </c>
      <c r="B16" s="14" t="s">
        <v>121</v>
      </c>
      <c r="C16" s="406">
        <v>1136717</v>
      </c>
      <c r="D16" s="352">
        <f>C16/'- 3 -'!E16</f>
        <v>0.01962692750699774</v>
      </c>
      <c r="E16" s="406">
        <f>C16/'- 7 -'!H16</f>
        <v>129.40767304189436</v>
      </c>
      <c r="F16" s="406">
        <v>0</v>
      </c>
      <c r="G16" s="352">
        <f>F16/'- 3 -'!E16</f>
        <v>0</v>
      </c>
      <c r="H16" s="406">
        <f>F16/'- 7 -'!H16</f>
        <v>0</v>
      </c>
      <c r="I16" s="406">
        <v>0</v>
      </c>
      <c r="J16" s="352">
        <f>I16/'- 3 -'!E16</f>
        <v>0</v>
      </c>
      <c r="K16" s="406">
        <f>I16/'- 7 -'!H16</f>
        <v>0</v>
      </c>
    </row>
    <row r="17" spans="1:11" ht="12.75">
      <c r="A17" s="11">
        <v>9</v>
      </c>
      <c r="B17" s="12" t="s">
        <v>122</v>
      </c>
      <c r="C17" s="405">
        <v>1187974</v>
      </c>
      <c r="D17" s="351">
        <f>C17/'- 3 -'!E17</f>
        <v>0.014572491279068555</v>
      </c>
      <c r="E17" s="405">
        <f>C17/'- 7 -'!H17</f>
        <v>94.75970550463838</v>
      </c>
      <c r="F17" s="405">
        <v>37472</v>
      </c>
      <c r="G17" s="351">
        <f>F17/'- 3 -'!E17</f>
        <v>0.00045965685546085766</v>
      </c>
      <c r="H17" s="405">
        <f>F17/'- 7 -'!H17</f>
        <v>2.98898434197197</v>
      </c>
      <c r="I17" s="405">
        <v>269722</v>
      </c>
      <c r="J17" s="351">
        <f>I17/'- 3 -'!E17</f>
        <v>0.00330859218532807</v>
      </c>
      <c r="K17" s="405">
        <f>I17/'- 7 -'!H17</f>
        <v>21.514593154498392</v>
      </c>
    </row>
    <row r="18" spans="1:11" ht="12.75">
      <c r="A18" s="13">
        <v>10</v>
      </c>
      <c r="B18" s="14" t="s">
        <v>123</v>
      </c>
      <c r="C18" s="406">
        <v>1176960.26</v>
      </c>
      <c r="D18" s="352">
        <f>C18/'- 3 -'!E18</f>
        <v>0.019641862989999995</v>
      </c>
      <c r="E18" s="406">
        <f>C18/'- 7 -'!H18</f>
        <v>137.39103017568436</v>
      </c>
      <c r="F18" s="406">
        <v>0</v>
      </c>
      <c r="G18" s="352">
        <f>F18/'- 3 -'!E18</f>
        <v>0</v>
      </c>
      <c r="H18" s="406">
        <f>F18/'- 7 -'!H18</f>
        <v>0</v>
      </c>
      <c r="I18" s="406">
        <v>0</v>
      </c>
      <c r="J18" s="352">
        <f>I18/'- 3 -'!E18</f>
        <v>0</v>
      </c>
      <c r="K18" s="406">
        <f>I18/'- 7 -'!H18</f>
        <v>0</v>
      </c>
    </row>
    <row r="19" spans="1:11" ht="12.75">
      <c r="A19" s="11">
        <v>11</v>
      </c>
      <c r="B19" s="12" t="s">
        <v>124</v>
      </c>
      <c r="C19" s="405">
        <v>372937</v>
      </c>
      <c r="D19" s="351">
        <f>C19/'- 3 -'!E19</f>
        <v>0.011536016532017374</v>
      </c>
      <c r="E19" s="405">
        <f>C19/'- 7 -'!H19</f>
        <v>79.08747746792493</v>
      </c>
      <c r="F19" s="405">
        <v>0</v>
      </c>
      <c r="G19" s="351">
        <f>F19/'- 3 -'!E19</f>
        <v>0</v>
      </c>
      <c r="H19" s="405">
        <f>F19/'- 7 -'!H19</f>
        <v>0</v>
      </c>
      <c r="I19" s="405">
        <v>0</v>
      </c>
      <c r="J19" s="351">
        <f>I19/'- 3 -'!E19</f>
        <v>0</v>
      </c>
      <c r="K19" s="405">
        <f>I19/'- 7 -'!H19</f>
        <v>0</v>
      </c>
    </row>
    <row r="20" spans="1:11" ht="12.75">
      <c r="A20" s="13">
        <v>12</v>
      </c>
      <c r="B20" s="14" t="s">
        <v>125</v>
      </c>
      <c r="C20" s="406">
        <v>956613</v>
      </c>
      <c r="D20" s="352">
        <f>C20/'- 3 -'!E20</f>
        <v>0.018468010716474557</v>
      </c>
      <c r="E20" s="406">
        <f>C20/'- 7 -'!H20</f>
        <v>123.92965410027206</v>
      </c>
      <c r="F20" s="406">
        <v>0</v>
      </c>
      <c r="G20" s="352">
        <f>F20/'- 3 -'!E20</f>
        <v>0</v>
      </c>
      <c r="H20" s="406">
        <f>F20/'- 7 -'!H20</f>
        <v>0</v>
      </c>
      <c r="I20" s="406">
        <v>0</v>
      </c>
      <c r="J20" s="352">
        <f>I20/'- 3 -'!E20</f>
        <v>0</v>
      </c>
      <c r="K20" s="406">
        <f>I20/'- 7 -'!H20</f>
        <v>0</v>
      </c>
    </row>
    <row r="21" spans="1:11" ht="12.75">
      <c r="A21" s="11">
        <v>13</v>
      </c>
      <c r="B21" s="12" t="s">
        <v>126</v>
      </c>
      <c r="C21" s="405">
        <v>348941</v>
      </c>
      <c r="D21" s="351">
        <f>C21/'- 3 -'!E21</f>
        <v>0.01765149580240701</v>
      </c>
      <c r="E21" s="405">
        <f>C21/'- 7 -'!H21</f>
        <v>130.48425697404832</v>
      </c>
      <c r="F21" s="405">
        <v>0</v>
      </c>
      <c r="G21" s="351">
        <f>F21/'- 3 -'!E21</f>
        <v>0</v>
      </c>
      <c r="H21" s="405">
        <f>F21/'- 7 -'!H21</f>
        <v>0</v>
      </c>
      <c r="I21" s="405">
        <v>0</v>
      </c>
      <c r="J21" s="351">
        <f>I21/'- 3 -'!E21</f>
        <v>0</v>
      </c>
      <c r="K21" s="405">
        <f>I21/'- 7 -'!H21</f>
        <v>0</v>
      </c>
    </row>
    <row r="22" spans="1:11" ht="12.75">
      <c r="A22" s="13">
        <v>14</v>
      </c>
      <c r="B22" s="14" t="s">
        <v>127</v>
      </c>
      <c r="C22" s="406">
        <v>349357</v>
      </c>
      <c r="D22" s="352">
        <f>C22/'- 3 -'!E22</f>
        <v>0.015192549645007847</v>
      </c>
      <c r="E22" s="406">
        <f>C22/'- 7 -'!H22</f>
        <v>99.37619115346324</v>
      </c>
      <c r="F22" s="406">
        <v>0</v>
      </c>
      <c r="G22" s="352">
        <f>F22/'- 3 -'!E22</f>
        <v>0</v>
      </c>
      <c r="H22" s="406">
        <f>F22/'- 7 -'!H22</f>
        <v>0</v>
      </c>
      <c r="I22" s="406">
        <v>557</v>
      </c>
      <c r="J22" s="352">
        <f>I22/'- 3 -'!E22</f>
        <v>2.42223575089933E-05</v>
      </c>
      <c r="K22" s="406">
        <f>I22/'- 7 -'!H22</f>
        <v>0.15844118902005405</v>
      </c>
    </row>
    <row r="23" spans="1:11" ht="12.75">
      <c r="A23" s="11">
        <v>15</v>
      </c>
      <c r="B23" s="12" t="s">
        <v>128</v>
      </c>
      <c r="C23" s="405">
        <v>333724</v>
      </c>
      <c r="D23" s="351">
        <f>C23/'- 3 -'!E23</f>
        <v>0.010432988531759538</v>
      </c>
      <c r="E23" s="405">
        <f>C23/'- 7 -'!H23</f>
        <v>55.676343009676344</v>
      </c>
      <c r="F23" s="405">
        <v>32650</v>
      </c>
      <c r="G23" s="351">
        <f>F23/'- 3 -'!E23</f>
        <v>0.0010207149487658931</v>
      </c>
      <c r="H23" s="405">
        <f>F23/'- 7 -'!H23</f>
        <v>5.447113780447114</v>
      </c>
      <c r="I23" s="405">
        <v>109974</v>
      </c>
      <c r="J23" s="351">
        <f>I23/'- 3 -'!E23</f>
        <v>0.0034380430559136396</v>
      </c>
      <c r="K23" s="405">
        <f>I23/'- 7 -'!H23</f>
        <v>18.34734734734735</v>
      </c>
    </row>
    <row r="24" spans="1:11" ht="12.75">
      <c r="A24" s="13">
        <v>16</v>
      </c>
      <c r="B24" s="14" t="s">
        <v>129</v>
      </c>
      <c r="C24" s="406">
        <v>64896</v>
      </c>
      <c r="D24" s="352">
        <f>C24/'- 3 -'!E24</f>
        <v>0.010501114626908972</v>
      </c>
      <c r="E24" s="406">
        <f>C24/'- 7 -'!H24</f>
        <v>77.18363463368222</v>
      </c>
      <c r="F24" s="406">
        <v>0</v>
      </c>
      <c r="G24" s="352">
        <f>F24/'- 3 -'!E24</f>
        <v>0</v>
      </c>
      <c r="H24" s="406">
        <f>F24/'- 7 -'!H24</f>
        <v>0</v>
      </c>
      <c r="I24" s="406">
        <v>31461</v>
      </c>
      <c r="J24" s="352">
        <f>I24/'- 3 -'!E24</f>
        <v>0.005090846389256397</v>
      </c>
      <c r="K24" s="406">
        <f>I24/'- 7 -'!H24</f>
        <v>37.41793529971456</v>
      </c>
    </row>
    <row r="25" spans="1:11" ht="12.75">
      <c r="A25" s="11">
        <v>17</v>
      </c>
      <c r="B25" s="12" t="s">
        <v>130</v>
      </c>
      <c r="C25" s="405">
        <v>101254</v>
      </c>
      <c r="D25" s="351">
        <f>C25/'- 3 -'!E25</f>
        <v>0.024322912303979188</v>
      </c>
      <c r="E25" s="405">
        <f>C25/'- 7 -'!H25</f>
        <v>207.4877049180328</v>
      </c>
      <c r="F25" s="405">
        <v>0</v>
      </c>
      <c r="G25" s="351">
        <f>F25/'- 3 -'!E25</f>
        <v>0</v>
      </c>
      <c r="H25" s="405">
        <f>F25/'- 7 -'!H25</f>
        <v>0</v>
      </c>
      <c r="I25" s="405">
        <v>0</v>
      </c>
      <c r="J25" s="351">
        <f>I25/'- 3 -'!E25</f>
        <v>0</v>
      </c>
      <c r="K25" s="405">
        <f>I25/'- 7 -'!H25</f>
        <v>0</v>
      </c>
    </row>
    <row r="26" spans="1:11" ht="12.75">
      <c r="A26" s="13">
        <v>18</v>
      </c>
      <c r="B26" s="14" t="s">
        <v>131</v>
      </c>
      <c r="C26" s="406">
        <v>101008</v>
      </c>
      <c r="D26" s="352">
        <f>C26/'- 3 -'!E26</f>
        <v>0.010517422875580721</v>
      </c>
      <c r="E26" s="406">
        <f>C26/'- 7 -'!H26</f>
        <v>68.68956137368242</v>
      </c>
      <c r="F26" s="406">
        <v>0</v>
      </c>
      <c r="G26" s="352">
        <f>F26/'- 3 -'!E26</f>
        <v>0</v>
      </c>
      <c r="H26" s="406">
        <f>F26/'- 7 -'!H26</f>
        <v>0</v>
      </c>
      <c r="I26" s="406">
        <v>0</v>
      </c>
      <c r="J26" s="352">
        <f>I26/'- 3 -'!E26</f>
        <v>0</v>
      </c>
      <c r="K26" s="406">
        <f>I26/'- 7 -'!H26</f>
        <v>0</v>
      </c>
    </row>
    <row r="27" spans="1:11" ht="12.75">
      <c r="A27" s="11">
        <v>19</v>
      </c>
      <c r="B27" s="12" t="s">
        <v>132</v>
      </c>
      <c r="C27" s="405">
        <v>149756</v>
      </c>
      <c r="D27" s="351">
        <f>C27/'- 3 -'!E27</f>
        <v>0.010187871060987884</v>
      </c>
      <c r="E27" s="405">
        <f>C27/'- 7 -'!H27</f>
        <v>80.57896152811406</v>
      </c>
      <c r="F27" s="405">
        <v>0</v>
      </c>
      <c r="G27" s="351">
        <f>F27/'- 3 -'!E27</f>
        <v>0</v>
      </c>
      <c r="H27" s="405">
        <f>F27/'- 7 -'!H27</f>
        <v>0</v>
      </c>
      <c r="I27" s="405">
        <v>0</v>
      </c>
      <c r="J27" s="351">
        <f>I27/'- 3 -'!E27</f>
        <v>0</v>
      </c>
      <c r="K27" s="405">
        <f>I27/'- 7 -'!H27</f>
        <v>0</v>
      </c>
    </row>
    <row r="28" spans="1:11" ht="12.75">
      <c r="A28" s="13">
        <v>20</v>
      </c>
      <c r="B28" s="14" t="s">
        <v>133</v>
      </c>
      <c r="C28" s="406">
        <v>114347</v>
      </c>
      <c r="D28" s="352">
        <f>C28/'- 3 -'!E28</f>
        <v>0.015127063390210027</v>
      </c>
      <c r="E28" s="406">
        <f>C28/'- 7 -'!H28</f>
        <v>119.79779989523311</v>
      </c>
      <c r="F28" s="406">
        <v>0</v>
      </c>
      <c r="G28" s="352">
        <f>F28/'- 3 -'!E28</f>
        <v>0</v>
      </c>
      <c r="H28" s="406">
        <f>F28/'- 7 -'!H28</f>
        <v>0</v>
      </c>
      <c r="I28" s="406">
        <v>0</v>
      </c>
      <c r="J28" s="352">
        <f>I28/'- 3 -'!E28</f>
        <v>0</v>
      </c>
      <c r="K28" s="406">
        <f>I28/'- 7 -'!H28</f>
        <v>0</v>
      </c>
    </row>
    <row r="29" spans="1:11" ht="12.75">
      <c r="A29" s="11">
        <v>21</v>
      </c>
      <c r="B29" s="12" t="s">
        <v>134</v>
      </c>
      <c r="C29" s="405">
        <v>346116</v>
      </c>
      <c r="D29" s="351">
        <f>C29/'- 3 -'!E29</f>
        <v>0.015517072563640818</v>
      </c>
      <c r="E29" s="405">
        <f>C29/'- 7 -'!H29</f>
        <v>100.86434503861285</v>
      </c>
      <c r="F29" s="405">
        <v>0</v>
      </c>
      <c r="G29" s="351">
        <f>F29/'- 3 -'!E29</f>
        <v>0</v>
      </c>
      <c r="H29" s="405">
        <f>F29/'- 7 -'!H29</f>
        <v>0</v>
      </c>
      <c r="I29" s="405">
        <v>0</v>
      </c>
      <c r="J29" s="351">
        <f>I29/'- 3 -'!E29</f>
        <v>0</v>
      </c>
      <c r="K29" s="405">
        <f>I29/'- 7 -'!H29</f>
        <v>0</v>
      </c>
    </row>
    <row r="30" spans="1:11" ht="12.75">
      <c r="A30" s="13">
        <v>22</v>
      </c>
      <c r="B30" s="14" t="s">
        <v>135</v>
      </c>
      <c r="C30" s="406">
        <v>200028</v>
      </c>
      <c r="D30" s="352">
        <f>C30/'- 3 -'!E30</f>
        <v>0.016992282421132654</v>
      </c>
      <c r="E30" s="406">
        <f>C30/'- 7 -'!H30</f>
        <v>113.2982158028887</v>
      </c>
      <c r="F30" s="406">
        <v>0</v>
      </c>
      <c r="G30" s="352">
        <f>F30/'- 3 -'!E30</f>
        <v>0</v>
      </c>
      <c r="H30" s="406">
        <f>F30/'- 7 -'!H30</f>
        <v>0</v>
      </c>
      <c r="I30" s="406">
        <v>0</v>
      </c>
      <c r="J30" s="352">
        <f>I30/'- 3 -'!E30</f>
        <v>0</v>
      </c>
      <c r="K30" s="406">
        <f>I30/'- 7 -'!H30</f>
        <v>0</v>
      </c>
    </row>
    <row r="31" spans="1:11" ht="12.75">
      <c r="A31" s="11">
        <v>23</v>
      </c>
      <c r="B31" s="12" t="s">
        <v>136</v>
      </c>
      <c r="C31" s="405">
        <v>172052</v>
      </c>
      <c r="D31" s="351">
        <f>C31/'- 3 -'!E31</f>
        <v>0.01701074002433778</v>
      </c>
      <c r="E31" s="405">
        <f>C31/'- 7 -'!H31</f>
        <v>119.64673157162726</v>
      </c>
      <c r="F31" s="405">
        <v>0</v>
      </c>
      <c r="G31" s="351">
        <f>F31/'- 3 -'!E31</f>
        <v>0</v>
      </c>
      <c r="H31" s="405">
        <f>F31/'- 7 -'!H31</f>
        <v>0</v>
      </c>
      <c r="I31" s="405">
        <v>0</v>
      </c>
      <c r="J31" s="351">
        <f>I31/'- 3 -'!E31</f>
        <v>0</v>
      </c>
      <c r="K31" s="405">
        <f>I31/'- 7 -'!H31</f>
        <v>0</v>
      </c>
    </row>
    <row r="32" spans="1:11" ht="12.75">
      <c r="A32" s="13">
        <v>24</v>
      </c>
      <c r="B32" s="14" t="s">
        <v>137</v>
      </c>
      <c r="C32" s="406">
        <v>417267</v>
      </c>
      <c r="D32" s="352">
        <f>C32/'- 3 -'!E32</f>
        <v>0.018356604247956494</v>
      </c>
      <c r="E32" s="406">
        <f>C32/'- 7 -'!H32</f>
        <v>116.78337531486146</v>
      </c>
      <c r="F32" s="406">
        <v>49819</v>
      </c>
      <c r="G32" s="352">
        <f>F32/'- 3 -'!E32</f>
        <v>0.00219166065619602</v>
      </c>
      <c r="H32" s="406">
        <f>F32/'- 7 -'!H32</f>
        <v>13.943184998600616</v>
      </c>
      <c r="I32" s="406">
        <v>873</v>
      </c>
      <c r="J32" s="352">
        <f>I32/'- 3 -'!E32</f>
        <v>3.840542268731057E-05</v>
      </c>
      <c r="K32" s="406">
        <f>I32/'- 7 -'!H32</f>
        <v>0.24433249370277077</v>
      </c>
    </row>
    <row r="33" spans="1:11" ht="12.75">
      <c r="A33" s="11">
        <v>25</v>
      </c>
      <c r="B33" s="12" t="s">
        <v>138</v>
      </c>
      <c r="C33" s="405">
        <v>88241</v>
      </c>
      <c r="D33" s="351">
        <f>C33/'- 3 -'!E33</f>
        <v>0.008397310074393005</v>
      </c>
      <c r="E33" s="405">
        <f>C33/'- 7 -'!H33</f>
        <v>60.47632101980673</v>
      </c>
      <c r="F33" s="405">
        <v>512</v>
      </c>
      <c r="G33" s="351">
        <f>F33/'- 3 -'!E33</f>
        <v>4.872364046292788E-05</v>
      </c>
      <c r="H33" s="405">
        <f>F33/'- 7 -'!H33</f>
        <v>0.3509012404907135</v>
      </c>
      <c r="I33" s="405">
        <v>0</v>
      </c>
      <c r="J33" s="351">
        <f>I33/'- 3 -'!E33</f>
        <v>0</v>
      </c>
      <c r="K33" s="405">
        <f>I33/'- 7 -'!H33</f>
        <v>0</v>
      </c>
    </row>
    <row r="34" spans="1:11" ht="12.75">
      <c r="A34" s="13">
        <v>26</v>
      </c>
      <c r="B34" s="14" t="s">
        <v>139</v>
      </c>
      <c r="C34" s="406">
        <v>238233</v>
      </c>
      <c r="D34" s="352">
        <f>C34/'- 3 -'!E34</f>
        <v>0.014688179299700253</v>
      </c>
      <c r="E34" s="406">
        <f>C34/'- 7 -'!H34</f>
        <v>83.79339453413527</v>
      </c>
      <c r="F34" s="406">
        <v>0</v>
      </c>
      <c r="G34" s="352">
        <f>F34/'- 3 -'!E34</f>
        <v>0</v>
      </c>
      <c r="H34" s="406">
        <f>F34/'- 7 -'!H34</f>
        <v>0</v>
      </c>
      <c r="I34" s="406">
        <v>0</v>
      </c>
      <c r="J34" s="352">
        <f>I34/'- 3 -'!E34</f>
        <v>0</v>
      </c>
      <c r="K34" s="406">
        <f>I34/'- 7 -'!H34</f>
        <v>0</v>
      </c>
    </row>
    <row r="35" spans="1:11" ht="12.75">
      <c r="A35" s="11">
        <v>28</v>
      </c>
      <c r="B35" s="12" t="s">
        <v>140</v>
      </c>
      <c r="C35" s="405">
        <v>56439</v>
      </c>
      <c r="D35" s="351">
        <f>C35/'- 3 -'!E35</f>
        <v>0.008860711202420128</v>
      </c>
      <c r="E35" s="405">
        <f>C35/'- 7 -'!H35</f>
        <v>64.03916851994735</v>
      </c>
      <c r="F35" s="405">
        <v>0</v>
      </c>
      <c r="G35" s="351">
        <f>F35/'- 3 -'!E35</f>
        <v>0</v>
      </c>
      <c r="H35" s="405">
        <f>F35/'- 7 -'!H35</f>
        <v>0</v>
      </c>
      <c r="I35" s="405">
        <v>0</v>
      </c>
      <c r="J35" s="351">
        <f>I35/'- 3 -'!E35</f>
        <v>0</v>
      </c>
      <c r="K35" s="405">
        <f>I35/'- 7 -'!H35</f>
        <v>0</v>
      </c>
    </row>
    <row r="36" spans="1:11" ht="12.75">
      <c r="A36" s="13">
        <v>30</v>
      </c>
      <c r="B36" s="14" t="s">
        <v>141</v>
      </c>
      <c r="C36" s="406">
        <v>81187</v>
      </c>
      <c r="D36" s="352">
        <f>C36/'- 3 -'!E36</f>
        <v>0.008787472339924416</v>
      </c>
      <c r="E36" s="406">
        <f>C36/'- 7 -'!H36</f>
        <v>62.36997772144119</v>
      </c>
      <c r="F36" s="406">
        <v>381</v>
      </c>
      <c r="G36" s="352">
        <f>F36/'- 3 -'!E36</f>
        <v>4.123846134862974E-05</v>
      </c>
      <c r="H36" s="406">
        <f>F36/'- 7 -'!H36</f>
        <v>0.2926941691634017</v>
      </c>
      <c r="I36" s="406">
        <v>0</v>
      </c>
      <c r="J36" s="352">
        <f>I36/'- 3 -'!E36</f>
        <v>0</v>
      </c>
      <c r="K36" s="406">
        <f>I36/'- 7 -'!H36</f>
        <v>0</v>
      </c>
    </row>
    <row r="37" spans="1:11" ht="12.75">
      <c r="A37" s="11">
        <v>31</v>
      </c>
      <c r="B37" s="12" t="s">
        <v>142</v>
      </c>
      <c r="C37" s="405">
        <v>152566</v>
      </c>
      <c r="D37" s="351">
        <f>C37/'- 3 -'!E37</f>
        <v>0.014180140182312105</v>
      </c>
      <c r="E37" s="405">
        <f>C37/'- 7 -'!H37</f>
        <v>92.40823743185948</v>
      </c>
      <c r="F37" s="405">
        <v>0</v>
      </c>
      <c r="G37" s="351">
        <f>F37/'- 3 -'!E37</f>
        <v>0</v>
      </c>
      <c r="H37" s="405">
        <f>F37/'- 7 -'!H37</f>
        <v>0</v>
      </c>
      <c r="I37" s="405">
        <v>0</v>
      </c>
      <c r="J37" s="351">
        <f>I37/'- 3 -'!E37</f>
        <v>0</v>
      </c>
      <c r="K37" s="405">
        <f>I37/'- 7 -'!H37</f>
        <v>0</v>
      </c>
    </row>
    <row r="38" spans="1:11" ht="12.75">
      <c r="A38" s="13">
        <v>32</v>
      </c>
      <c r="B38" s="14" t="s">
        <v>143</v>
      </c>
      <c r="C38" s="406">
        <v>146291</v>
      </c>
      <c r="D38" s="352">
        <f>C38/'- 3 -'!E38</f>
        <v>0.02306202776962561</v>
      </c>
      <c r="E38" s="406">
        <f>C38/'- 7 -'!H38</f>
        <v>176.46682750301568</v>
      </c>
      <c r="F38" s="406">
        <v>1364</v>
      </c>
      <c r="G38" s="352">
        <f>F38/'- 3 -'!E38</f>
        <v>0.00021502762218980888</v>
      </c>
      <c r="H38" s="406">
        <f>F38/'- 7 -'!H38</f>
        <v>1.6453558504221955</v>
      </c>
      <c r="I38" s="406">
        <v>0</v>
      </c>
      <c r="J38" s="352">
        <f>I38/'- 3 -'!E38</f>
        <v>0</v>
      </c>
      <c r="K38" s="406">
        <f>I38/'- 7 -'!H38</f>
        <v>0</v>
      </c>
    </row>
    <row r="39" spans="1:11" ht="12.75">
      <c r="A39" s="11">
        <v>33</v>
      </c>
      <c r="B39" s="12" t="s">
        <v>144</v>
      </c>
      <c r="C39" s="405">
        <v>330565</v>
      </c>
      <c r="D39" s="351">
        <f>C39/'- 3 -'!E39</f>
        <v>0.025426072175078505</v>
      </c>
      <c r="E39" s="405">
        <f>C39/'- 7 -'!H39</f>
        <v>173.7073042564372</v>
      </c>
      <c r="F39" s="405">
        <v>20498</v>
      </c>
      <c r="G39" s="351">
        <f>F39/'- 3 -'!E39</f>
        <v>0.0015766449183814352</v>
      </c>
      <c r="H39" s="405">
        <f>F39/'- 7 -'!H39</f>
        <v>10.771413557540725</v>
      </c>
      <c r="I39" s="405">
        <v>147495</v>
      </c>
      <c r="J39" s="351">
        <f>I39/'- 3 -'!E39</f>
        <v>0.011344874731030822</v>
      </c>
      <c r="K39" s="405">
        <f>I39/'- 7 -'!H39</f>
        <v>77.50656857593273</v>
      </c>
    </row>
    <row r="40" spans="1:11" ht="12.75">
      <c r="A40" s="13">
        <v>34</v>
      </c>
      <c r="B40" s="14" t="s">
        <v>145</v>
      </c>
      <c r="C40" s="406">
        <v>47234.17</v>
      </c>
      <c r="D40" s="352">
        <f>C40/'- 3 -'!E40</f>
        <v>0.00815982685902706</v>
      </c>
      <c r="E40" s="406">
        <f>C40/'- 7 -'!H40</f>
        <v>64.43952251023192</v>
      </c>
      <c r="F40" s="406">
        <v>0</v>
      </c>
      <c r="G40" s="352">
        <f>F40/'- 3 -'!E40</f>
        <v>0</v>
      </c>
      <c r="H40" s="406">
        <f>F40/'- 7 -'!H40</f>
        <v>0</v>
      </c>
      <c r="I40" s="406">
        <v>0</v>
      </c>
      <c r="J40" s="352">
        <f>I40/'- 3 -'!E40</f>
        <v>0</v>
      </c>
      <c r="K40" s="406">
        <f>I40/'- 7 -'!H40</f>
        <v>0</v>
      </c>
    </row>
    <row r="41" spans="1:11" ht="12.75">
      <c r="A41" s="11">
        <v>35</v>
      </c>
      <c r="B41" s="12" t="s">
        <v>146</v>
      </c>
      <c r="C41" s="405">
        <v>157587</v>
      </c>
      <c r="D41" s="351">
        <f>C41/'- 3 -'!E41</f>
        <v>0.011321880846882723</v>
      </c>
      <c r="E41" s="405">
        <f>C41/'- 7 -'!H41</f>
        <v>81.91444017049588</v>
      </c>
      <c r="F41" s="405">
        <v>0</v>
      </c>
      <c r="G41" s="351">
        <f>F41/'- 3 -'!E41</f>
        <v>0</v>
      </c>
      <c r="H41" s="405">
        <f>F41/'- 7 -'!H41</f>
        <v>0</v>
      </c>
      <c r="I41" s="405">
        <v>0</v>
      </c>
      <c r="J41" s="351">
        <f>I41/'- 3 -'!E41</f>
        <v>0</v>
      </c>
      <c r="K41" s="405">
        <f>I41/'- 7 -'!H41</f>
        <v>0</v>
      </c>
    </row>
    <row r="42" spans="1:11" ht="12.75">
      <c r="A42" s="13">
        <v>36</v>
      </c>
      <c r="B42" s="14" t="s">
        <v>147</v>
      </c>
      <c r="C42" s="406">
        <v>161737</v>
      </c>
      <c r="D42" s="352">
        <f>C42/'- 3 -'!E42</f>
        <v>0.02018263625523138</v>
      </c>
      <c r="E42" s="406">
        <f>C42/'- 7 -'!H42</f>
        <v>160.37382250867626</v>
      </c>
      <c r="F42" s="406">
        <v>0</v>
      </c>
      <c r="G42" s="352">
        <f>F42/'- 3 -'!E42</f>
        <v>0</v>
      </c>
      <c r="H42" s="406">
        <f>F42/'- 7 -'!H42</f>
        <v>0</v>
      </c>
      <c r="I42" s="406">
        <v>0</v>
      </c>
      <c r="J42" s="352">
        <f>I42/'- 3 -'!E42</f>
        <v>0</v>
      </c>
      <c r="K42" s="406">
        <f>I42/'- 7 -'!H42</f>
        <v>0</v>
      </c>
    </row>
    <row r="43" spans="1:11" ht="12.75">
      <c r="A43" s="11">
        <v>37</v>
      </c>
      <c r="B43" s="12" t="s">
        <v>148</v>
      </c>
      <c r="C43" s="405">
        <v>75720</v>
      </c>
      <c r="D43" s="351">
        <f>C43/'- 3 -'!E43</f>
        <v>0.01101797000933591</v>
      </c>
      <c r="E43" s="405">
        <f>C43/'- 7 -'!H43</f>
        <v>78.62928348909658</v>
      </c>
      <c r="F43" s="405">
        <v>0</v>
      </c>
      <c r="G43" s="351">
        <f>F43/'- 3 -'!E43</f>
        <v>0</v>
      </c>
      <c r="H43" s="405">
        <f>F43/'- 7 -'!H43</f>
        <v>0</v>
      </c>
      <c r="I43" s="405">
        <v>0</v>
      </c>
      <c r="J43" s="351">
        <f>I43/'- 3 -'!E43</f>
        <v>0</v>
      </c>
      <c r="K43" s="405">
        <f>I43/'- 7 -'!H43</f>
        <v>0</v>
      </c>
    </row>
    <row r="44" spans="1:11" ht="12.75">
      <c r="A44" s="13">
        <v>38</v>
      </c>
      <c r="B44" s="14" t="s">
        <v>149</v>
      </c>
      <c r="C44" s="406">
        <v>99870</v>
      </c>
      <c r="D44" s="352">
        <f>C44/'- 3 -'!E44</f>
        <v>0.011179033787613805</v>
      </c>
      <c r="E44" s="406">
        <f>C44/'- 7 -'!H44</f>
        <v>85.50513698630137</v>
      </c>
      <c r="F44" s="406">
        <v>0</v>
      </c>
      <c r="G44" s="352">
        <f>F44/'- 3 -'!E44</f>
        <v>0</v>
      </c>
      <c r="H44" s="406">
        <f>F44/'- 7 -'!H44</f>
        <v>0</v>
      </c>
      <c r="I44" s="406">
        <v>0</v>
      </c>
      <c r="J44" s="352">
        <f>I44/'- 3 -'!E44</f>
        <v>0</v>
      </c>
      <c r="K44" s="406">
        <f>I44/'- 7 -'!H44</f>
        <v>0</v>
      </c>
    </row>
    <row r="45" spans="1:11" ht="12.75">
      <c r="A45" s="11">
        <v>39</v>
      </c>
      <c r="B45" s="12" t="s">
        <v>150</v>
      </c>
      <c r="C45" s="405">
        <v>209218</v>
      </c>
      <c r="D45" s="351">
        <f>C45/'- 3 -'!E45</f>
        <v>0.014020670399784588</v>
      </c>
      <c r="E45" s="405">
        <f>C45/'- 7 -'!H45</f>
        <v>98.68773584905661</v>
      </c>
      <c r="F45" s="405">
        <v>1462</v>
      </c>
      <c r="G45" s="351">
        <f>F45/'- 3 -'!E45</f>
        <v>9.797541380036645E-05</v>
      </c>
      <c r="H45" s="405">
        <f>F45/'- 7 -'!H45</f>
        <v>0.689622641509434</v>
      </c>
      <c r="I45" s="405">
        <v>0</v>
      </c>
      <c r="J45" s="351">
        <f>I45/'- 3 -'!E45</f>
        <v>0</v>
      </c>
      <c r="K45" s="405">
        <f>I45/'- 7 -'!H45</f>
        <v>0</v>
      </c>
    </row>
    <row r="46" spans="1:11" ht="12.75">
      <c r="A46" s="13">
        <v>40</v>
      </c>
      <c r="B46" s="14" t="s">
        <v>151</v>
      </c>
      <c r="C46" s="406">
        <v>1116607</v>
      </c>
      <c r="D46" s="352">
        <f>C46/'- 3 -'!E46</f>
        <v>0.024924729062460387</v>
      </c>
      <c r="E46" s="406">
        <f>C46/'- 7 -'!H46</f>
        <v>150.87244966896364</v>
      </c>
      <c r="F46" s="406">
        <v>16084</v>
      </c>
      <c r="G46" s="352">
        <f>F46/'- 3 -'!E46</f>
        <v>0.00035902456481162385</v>
      </c>
      <c r="H46" s="406">
        <f>F46/'- 7 -'!H46</f>
        <v>2.1732198351574112</v>
      </c>
      <c r="I46" s="406">
        <v>11953</v>
      </c>
      <c r="J46" s="352">
        <f>I46/'- 3 -'!E46</f>
        <v>0.00026681302059147847</v>
      </c>
      <c r="K46" s="406">
        <f>I46/'- 7 -'!H46</f>
        <v>1.6150520199972977</v>
      </c>
    </row>
    <row r="47" spans="1:11" ht="12.75">
      <c r="A47" s="11">
        <v>41</v>
      </c>
      <c r="B47" s="12" t="s">
        <v>152</v>
      </c>
      <c r="C47" s="405">
        <v>114263</v>
      </c>
      <c r="D47" s="351">
        <f>C47/'- 3 -'!E47</f>
        <v>0.009309748279196143</v>
      </c>
      <c r="E47" s="405">
        <f>C47/'- 7 -'!H47</f>
        <v>69.01189829075315</v>
      </c>
      <c r="F47" s="405">
        <v>0</v>
      </c>
      <c r="G47" s="351">
        <f>F47/'- 3 -'!E47</f>
        <v>0</v>
      </c>
      <c r="H47" s="405">
        <f>F47/'- 7 -'!H47</f>
        <v>0</v>
      </c>
      <c r="I47" s="405">
        <v>0</v>
      </c>
      <c r="J47" s="351">
        <f>I47/'- 3 -'!E47</f>
        <v>0</v>
      </c>
      <c r="K47" s="405">
        <f>I47/'- 7 -'!H47</f>
        <v>0</v>
      </c>
    </row>
    <row r="48" spans="1:11" ht="12.75">
      <c r="A48" s="13">
        <v>42</v>
      </c>
      <c r="B48" s="14" t="s">
        <v>153</v>
      </c>
      <c r="C48" s="406">
        <v>82548</v>
      </c>
      <c r="D48" s="352">
        <f>C48/'- 3 -'!E48</f>
        <v>0.01068001034000129</v>
      </c>
      <c r="E48" s="406">
        <f>C48/'- 7 -'!H48</f>
        <v>78.0964995269631</v>
      </c>
      <c r="F48" s="406">
        <v>0</v>
      </c>
      <c r="G48" s="352">
        <f>F48/'- 3 -'!E48</f>
        <v>0</v>
      </c>
      <c r="H48" s="406">
        <f>F48/'- 7 -'!H48</f>
        <v>0</v>
      </c>
      <c r="I48" s="406">
        <v>9010</v>
      </c>
      <c r="J48" s="352">
        <f>I48/'- 3 -'!E48</f>
        <v>0.0011657083534841741</v>
      </c>
      <c r="K48" s="406">
        <f>I48/'- 7 -'!H48</f>
        <v>8.524124881740775</v>
      </c>
    </row>
    <row r="49" spans="1:11" ht="12.75">
      <c r="A49" s="11">
        <v>43</v>
      </c>
      <c r="B49" s="12" t="s">
        <v>154</v>
      </c>
      <c r="C49" s="405">
        <v>55902</v>
      </c>
      <c r="D49" s="351">
        <f>C49/'- 3 -'!E49</f>
        <v>0.008791765288710299</v>
      </c>
      <c r="E49" s="405">
        <f>C49/'- 7 -'!H49</f>
        <v>71.8073217726397</v>
      </c>
      <c r="F49" s="405">
        <v>0</v>
      </c>
      <c r="G49" s="351">
        <f>F49/'- 3 -'!E49</f>
        <v>0</v>
      </c>
      <c r="H49" s="405">
        <f>F49/'- 7 -'!H49</f>
        <v>0</v>
      </c>
      <c r="I49" s="405">
        <v>0</v>
      </c>
      <c r="J49" s="351">
        <f>I49/'- 3 -'!E49</f>
        <v>0</v>
      </c>
      <c r="K49" s="405">
        <f>I49/'- 7 -'!H49</f>
        <v>0</v>
      </c>
    </row>
    <row r="50" spans="1:11" ht="12.75">
      <c r="A50" s="13">
        <v>44</v>
      </c>
      <c r="B50" s="14" t="s">
        <v>155</v>
      </c>
      <c r="C50" s="406">
        <v>116069</v>
      </c>
      <c r="D50" s="352">
        <f>C50/'- 3 -'!E50</f>
        <v>0.012546570369170907</v>
      </c>
      <c r="E50" s="406">
        <f>C50/'- 7 -'!H50</f>
        <v>93.340570969039</v>
      </c>
      <c r="F50" s="406">
        <v>0</v>
      </c>
      <c r="G50" s="352">
        <f>F50/'- 3 -'!E50</f>
        <v>0</v>
      </c>
      <c r="H50" s="406">
        <f>F50/'- 7 -'!H50</f>
        <v>0</v>
      </c>
      <c r="I50" s="406">
        <v>0</v>
      </c>
      <c r="J50" s="352">
        <f>I50/'- 3 -'!E50</f>
        <v>0</v>
      </c>
      <c r="K50" s="406">
        <f>I50/'- 7 -'!H50</f>
        <v>0</v>
      </c>
    </row>
    <row r="51" spans="1:11" ht="12.75">
      <c r="A51" s="11">
        <v>45</v>
      </c>
      <c r="B51" s="12" t="s">
        <v>156</v>
      </c>
      <c r="C51" s="405">
        <v>263204</v>
      </c>
      <c r="D51" s="351">
        <f>C51/'- 3 -'!E51</f>
        <v>0.021825618940103684</v>
      </c>
      <c r="E51" s="405">
        <f>C51/'- 7 -'!H51</f>
        <v>139.6974682872459</v>
      </c>
      <c r="F51" s="405">
        <v>15566</v>
      </c>
      <c r="G51" s="351">
        <f>F51/'- 3 -'!E51</f>
        <v>0.0012907766767285222</v>
      </c>
      <c r="H51" s="405">
        <f>F51/'- 7 -'!H51</f>
        <v>8.261769545140917</v>
      </c>
      <c r="I51" s="405">
        <v>0</v>
      </c>
      <c r="J51" s="351">
        <f>I51/'- 3 -'!E51</f>
        <v>0</v>
      </c>
      <c r="K51" s="405">
        <f>I51/'- 7 -'!H51</f>
        <v>0</v>
      </c>
    </row>
    <row r="52" spans="1:11" ht="12.75">
      <c r="A52" s="13">
        <v>46</v>
      </c>
      <c r="B52" s="14" t="s">
        <v>157</v>
      </c>
      <c r="C52" s="406">
        <v>222742</v>
      </c>
      <c r="D52" s="352">
        <f>C52/'- 3 -'!E52</f>
        <v>0.020361874708887864</v>
      </c>
      <c r="E52" s="406">
        <f>C52/'- 7 -'!H52</f>
        <v>154.96173646862388</v>
      </c>
      <c r="F52" s="406">
        <v>0</v>
      </c>
      <c r="G52" s="352">
        <f>F52/'- 3 -'!E52</f>
        <v>0</v>
      </c>
      <c r="H52" s="406">
        <f>F52/'- 7 -'!H52</f>
        <v>0</v>
      </c>
      <c r="I52" s="406">
        <v>19119</v>
      </c>
      <c r="J52" s="352">
        <f>I52/'- 3 -'!E52</f>
        <v>0.0017477560700686313</v>
      </c>
      <c r="K52" s="406">
        <f>I52/'- 7 -'!H52</f>
        <v>13.301099206901348</v>
      </c>
    </row>
    <row r="53" spans="1:11" ht="12.75">
      <c r="A53" s="11">
        <v>47</v>
      </c>
      <c r="B53" s="12" t="s">
        <v>158</v>
      </c>
      <c r="C53" s="405">
        <v>182318</v>
      </c>
      <c r="D53" s="351">
        <f>C53/'- 3 -'!E53</f>
        <v>0.019797299146204962</v>
      </c>
      <c r="E53" s="405">
        <f>C53/'- 7 -'!H53</f>
        <v>126.04078810922917</v>
      </c>
      <c r="F53" s="405">
        <v>0</v>
      </c>
      <c r="G53" s="351">
        <f>F53/'- 3 -'!E53</f>
        <v>0</v>
      </c>
      <c r="H53" s="405">
        <f>F53/'- 7 -'!H53</f>
        <v>0</v>
      </c>
      <c r="I53" s="405">
        <v>100530</v>
      </c>
      <c r="J53" s="351">
        <f>I53/'- 3 -'!E53</f>
        <v>0.010916214982437196</v>
      </c>
      <c r="K53" s="405">
        <f>I53/'- 7 -'!H53</f>
        <v>69.49879018320082</v>
      </c>
    </row>
    <row r="54" spans="1:11" ht="12.75">
      <c r="A54" s="13">
        <v>48</v>
      </c>
      <c r="B54" s="14" t="s">
        <v>159</v>
      </c>
      <c r="C54" s="406">
        <v>346938</v>
      </c>
      <c r="D54" s="352">
        <f>C54/'- 3 -'!E54</f>
        <v>0.005841267694732789</v>
      </c>
      <c r="E54" s="406">
        <f>C54/'- 7 -'!H54</f>
        <v>66.36532318227901</v>
      </c>
      <c r="F54" s="406">
        <v>92212</v>
      </c>
      <c r="G54" s="352">
        <f>F54/'- 3 -'!E54</f>
        <v>0.0015525395795983718</v>
      </c>
      <c r="H54" s="406">
        <f>F54/'- 7 -'!H54</f>
        <v>17.63911471584062</v>
      </c>
      <c r="I54" s="406">
        <v>688818</v>
      </c>
      <c r="J54" s="352">
        <f>I54/'- 3 -'!E54</f>
        <v>0.0115973757009911</v>
      </c>
      <c r="K54" s="406">
        <f>I54/'- 7 -'!H54</f>
        <v>131.76310805899345</v>
      </c>
    </row>
    <row r="55" spans="1:11" ht="12.75">
      <c r="A55" s="11">
        <v>49</v>
      </c>
      <c r="B55" s="12" t="s">
        <v>160</v>
      </c>
      <c r="C55" s="405">
        <v>677727</v>
      </c>
      <c r="D55" s="351">
        <f>C55/'- 3 -'!E55</f>
        <v>0.018709613710870217</v>
      </c>
      <c r="E55" s="405">
        <f>C55/'- 7 -'!H55</f>
        <v>159.06097446488923</v>
      </c>
      <c r="F55" s="405">
        <v>0</v>
      </c>
      <c r="G55" s="351">
        <f>F55/'- 3 -'!E55</f>
        <v>0</v>
      </c>
      <c r="H55" s="405">
        <f>F55/'- 7 -'!H55</f>
        <v>0</v>
      </c>
      <c r="I55" s="405">
        <v>0</v>
      </c>
      <c r="J55" s="351">
        <f>I55/'- 3 -'!E55</f>
        <v>0</v>
      </c>
      <c r="K55" s="405">
        <f>I55/'- 7 -'!H55</f>
        <v>0</v>
      </c>
    </row>
    <row r="56" spans="1:11" ht="12.75">
      <c r="A56" s="13">
        <v>50</v>
      </c>
      <c r="B56" s="14" t="s">
        <v>343</v>
      </c>
      <c r="C56" s="406">
        <v>121298</v>
      </c>
      <c r="D56" s="352">
        <f>C56/'- 3 -'!E56</f>
        <v>0.008415151740938369</v>
      </c>
      <c r="E56" s="406">
        <f>C56/'- 7 -'!H56</f>
        <v>68.82937070873291</v>
      </c>
      <c r="F56" s="406">
        <v>0</v>
      </c>
      <c r="G56" s="352">
        <f>F56/'- 3 -'!E56</f>
        <v>0</v>
      </c>
      <c r="H56" s="406">
        <f>F56/'- 7 -'!H56</f>
        <v>0</v>
      </c>
      <c r="I56" s="406">
        <v>0</v>
      </c>
      <c r="J56" s="352">
        <f>I56/'- 3 -'!E56</f>
        <v>0</v>
      </c>
      <c r="K56" s="406">
        <f>I56/'- 7 -'!H56</f>
        <v>0</v>
      </c>
    </row>
    <row r="57" spans="1:11" ht="12.75">
      <c r="A57" s="11">
        <v>2264</v>
      </c>
      <c r="B57" s="12" t="s">
        <v>161</v>
      </c>
      <c r="C57" s="405">
        <v>14220</v>
      </c>
      <c r="D57" s="351">
        <f>C57/'- 3 -'!E57</f>
        <v>0.006754572728173207</v>
      </c>
      <c r="E57" s="405">
        <f>C57/'- 7 -'!H57</f>
        <v>72.36641221374046</v>
      </c>
      <c r="F57" s="405">
        <v>0</v>
      </c>
      <c r="G57" s="351">
        <f>F57/'- 3 -'!E57</f>
        <v>0</v>
      </c>
      <c r="H57" s="405">
        <f>F57/'- 7 -'!H57</f>
        <v>0</v>
      </c>
      <c r="I57" s="405">
        <v>1754</v>
      </c>
      <c r="J57" s="351">
        <f>I57/'- 3 -'!E57</f>
        <v>0.0008331589708309286</v>
      </c>
      <c r="K57" s="405">
        <f>I57/'- 7 -'!H57</f>
        <v>8.926208651399492</v>
      </c>
    </row>
    <row r="58" spans="1:11" ht="12.75">
      <c r="A58" s="13">
        <v>2309</v>
      </c>
      <c r="B58" s="14" t="s">
        <v>162</v>
      </c>
      <c r="C58" s="406">
        <v>12600</v>
      </c>
      <c r="D58" s="352">
        <f>C58/'- 3 -'!E58</f>
        <v>0.005562486590434112</v>
      </c>
      <c r="E58" s="406">
        <f>C58/'- 7 -'!H58</f>
        <v>48.33141542002302</v>
      </c>
      <c r="F58" s="406">
        <v>0</v>
      </c>
      <c r="G58" s="352">
        <f>F58/'- 3 -'!E58</f>
        <v>0</v>
      </c>
      <c r="H58" s="406">
        <f>F58/'- 7 -'!H58</f>
        <v>0</v>
      </c>
      <c r="I58" s="406">
        <v>0</v>
      </c>
      <c r="J58" s="352">
        <f>I58/'- 3 -'!E58</f>
        <v>0</v>
      </c>
      <c r="K58" s="406">
        <f>I58/'- 7 -'!H58</f>
        <v>0</v>
      </c>
    </row>
    <row r="59" spans="1:11" ht="12.75">
      <c r="A59" s="11">
        <v>2312</v>
      </c>
      <c r="B59" s="12" t="s">
        <v>163</v>
      </c>
      <c r="C59" s="405">
        <v>0</v>
      </c>
      <c r="D59" s="351">
        <f>C59/'- 3 -'!E59</f>
        <v>0</v>
      </c>
      <c r="E59" s="405">
        <f>C59/'- 7 -'!H59</f>
        <v>0</v>
      </c>
      <c r="F59" s="405">
        <v>0</v>
      </c>
      <c r="G59" s="351">
        <f>F59/'- 3 -'!E59</f>
        <v>0</v>
      </c>
      <c r="H59" s="405">
        <f>F59/'- 7 -'!H59</f>
        <v>0</v>
      </c>
      <c r="I59" s="405">
        <v>0</v>
      </c>
      <c r="J59" s="351">
        <f>I59/'- 3 -'!E59</f>
        <v>0</v>
      </c>
      <c r="K59" s="405">
        <f>I59/'- 7 -'!H59</f>
        <v>0</v>
      </c>
    </row>
    <row r="60" spans="1:11" ht="12.75">
      <c r="A60" s="13">
        <v>2355</v>
      </c>
      <c r="B60" s="14" t="s">
        <v>164</v>
      </c>
      <c r="C60" s="406">
        <v>527101</v>
      </c>
      <c r="D60" s="352">
        <f>C60/'- 3 -'!E60</f>
        <v>0.021189900649757384</v>
      </c>
      <c r="E60" s="406">
        <f>C60/'- 7 -'!H60</f>
        <v>158.70321861921536</v>
      </c>
      <c r="F60" s="406">
        <v>2201</v>
      </c>
      <c r="G60" s="352">
        <f>F60/'- 3 -'!E60</f>
        <v>8.848203917297824E-05</v>
      </c>
      <c r="H60" s="406">
        <f>F60/'- 7 -'!H60</f>
        <v>0.662692319272574</v>
      </c>
      <c r="I60" s="406">
        <v>0</v>
      </c>
      <c r="J60" s="352">
        <f>I60/'- 3 -'!E60</f>
        <v>0</v>
      </c>
      <c r="K60" s="406">
        <f>I60/'- 7 -'!H60</f>
        <v>0</v>
      </c>
    </row>
    <row r="61" spans="1:11" ht="12.75">
      <c r="A61" s="11">
        <v>2439</v>
      </c>
      <c r="B61" s="12" t="s">
        <v>165</v>
      </c>
      <c r="C61" s="405">
        <v>7873.85</v>
      </c>
      <c r="D61" s="351">
        <f>C61/'- 3 -'!E61</f>
        <v>0.005635521063912743</v>
      </c>
      <c r="E61" s="405">
        <f>C61/'- 7 -'!H61</f>
        <v>50.31214057507987</v>
      </c>
      <c r="F61" s="405">
        <v>0</v>
      </c>
      <c r="G61" s="351">
        <f>F61/'- 3 -'!E61</f>
        <v>0</v>
      </c>
      <c r="H61" s="405">
        <f>F61/'- 7 -'!H61</f>
        <v>0</v>
      </c>
      <c r="I61" s="405">
        <v>0</v>
      </c>
      <c r="J61" s="351">
        <f>I61/'- 3 -'!E61</f>
        <v>0</v>
      </c>
      <c r="K61" s="405">
        <f>I61/'- 7 -'!H61</f>
        <v>0</v>
      </c>
    </row>
    <row r="62" spans="1:11" ht="12.75">
      <c r="A62" s="13">
        <v>2460</v>
      </c>
      <c r="B62" s="14" t="s">
        <v>166</v>
      </c>
      <c r="C62" s="406">
        <v>37286</v>
      </c>
      <c r="D62" s="352">
        <f>C62/'- 3 -'!E62</f>
        <v>0.011283346789666021</v>
      </c>
      <c r="E62" s="406">
        <f>C62/'- 7 -'!H62</f>
        <v>136.98016164584865</v>
      </c>
      <c r="F62" s="406">
        <v>0</v>
      </c>
      <c r="G62" s="352">
        <f>F62/'- 3 -'!E62</f>
        <v>0</v>
      </c>
      <c r="H62" s="406">
        <f>F62/'- 7 -'!H62</f>
        <v>0</v>
      </c>
      <c r="I62" s="406">
        <v>0</v>
      </c>
      <c r="J62" s="352">
        <f>I62/'- 3 -'!E62</f>
        <v>0</v>
      </c>
      <c r="K62" s="406">
        <f>I62/'- 7 -'!H62</f>
        <v>0</v>
      </c>
    </row>
    <row r="63" spans="1:11" ht="12.75">
      <c r="A63" s="11">
        <v>3000</v>
      </c>
      <c r="B63" s="12" t="s">
        <v>366</v>
      </c>
      <c r="C63" s="405">
        <v>435734</v>
      </c>
      <c r="D63" s="351">
        <f>C63/'- 3 -'!E63</f>
        <v>0.07555788301840333</v>
      </c>
      <c r="E63" s="405">
        <f>C63/'- 7 -'!H63</f>
        <v>648.9931486446231</v>
      </c>
      <c r="F63" s="405">
        <v>0</v>
      </c>
      <c r="G63" s="351">
        <f>F63/'- 3 -'!E63</f>
        <v>0</v>
      </c>
      <c r="H63" s="405">
        <f>F63/'- 7 -'!H63</f>
        <v>0</v>
      </c>
      <c r="I63" s="405">
        <v>0</v>
      </c>
      <c r="J63" s="351">
        <f>I63/'- 3 -'!E63</f>
        <v>0</v>
      </c>
      <c r="K63" s="405">
        <f>I63/'- 7 -'!H63</f>
        <v>0</v>
      </c>
    </row>
    <row r="64" spans="1:11" ht="4.5" customHeight="1">
      <c r="A64" s="15"/>
      <c r="B64" s="15"/>
      <c r="C64" s="412"/>
      <c r="D64" s="194"/>
      <c r="E64" s="412"/>
      <c r="F64" s="412"/>
      <c r="G64" s="194"/>
      <c r="H64" s="412"/>
      <c r="I64" s="412"/>
      <c r="J64" s="194"/>
      <c r="K64" s="412"/>
    </row>
    <row r="65" spans="1:11" ht="12.75">
      <c r="A65" s="17"/>
      <c r="B65" s="18" t="s">
        <v>167</v>
      </c>
      <c r="C65" s="407">
        <f>SUM(C11:C63)</f>
        <v>21539834.28</v>
      </c>
      <c r="D65" s="100">
        <f>C65/'- 3 -'!E65</f>
        <v>0.016600237862173083</v>
      </c>
      <c r="E65" s="407">
        <f>C65/'- 7 -'!H65</f>
        <v>118.85260271269634</v>
      </c>
      <c r="F65" s="407">
        <f>SUM(F11:F63)</f>
        <v>419585</v>
      </c>
      <c r="G65" s="100">
        <f>F65/'- 3 -'!E65</f>
        <v>0.0003233641778696123</v>
      </c>
      <c r="H65" s="407">
        <f>F65/'- 7 -'!H65</f>
        <v>2.3151881607329936</v>
      </c>
      <c r="I65" s="407">
        <f>SUM(I11:I63)</f>
        <v>2332001</v>
      </c>
      <c r="J65" s="100">
        <f>I65/'- 3 -'!E65</f>
        <v>0.0017972176940455778</v>
      </c>
      <c r="K65" s="407">
        <f>I65/'- 7 -'!H65</f>
        <v>12.867526498844102</v>
      </c>
    </row>
    <row r="66" spans="1:11" ht="4.5" customHeight="1">
      <c r="A66" s="15"/>
      <c r="B66" s="15"/>
      <c r="C66" s="412"/>
      <c r="D66" s="194"/>
      <c r="E66" s="412"/>
      <c r="F66" s="412"/>
      <c r="G66" s="194"/>
      <c r="H66" s="412"/>
      <c r="I66" s="412"/>
      <c r="J66" s="194"/>
      <c r="K66" s="412"/>
    </row>
    <row r="67" spans="1:11" ht="12.75">
      <c r="A67" s="13">
        <v>2155</v>
      </c>
      <c r="B67" s="14" t="s">
        <v>168</v>
      </c>
      <c r="C67" s="406">
        <v>15867</v>
      </c>
      <c r="D67" s="352">
        <f>C67/'- 3 -'!E67</f>
        <v>0.013260098235039725</v>
      </c>
      <c r="E67" s="406">
        <f>C67/'- 7 -'!H67</f>
        <v>108.67808219178082</v>
      </c>
      <c r="F67" s="406">
        <v>0</v>
      </c>
      <c r="G67" s="352">
        <f>F67/'- 3 -'!E67</f>
        <v>0</v>
      </c>
      <c r="H67" s="406">
        <f>F67/'- 7 -'!H67</f>
        <v>0</v>
      </c>
      <c r="I67" s="406">
        <v>0</v>
      </c>
      <c r="J67" s="352">
        <f>I67/'- 3 -'!E67</f>
        <v>0</v>
      </c>
      <c r="K67" s="406">
        <f>I67/'- 7 -'!H67</f>
        <v>0</v>
      </c>
    </row>
    <row r="68" spans="1:11" ht="12.75">
      <c r="A68" s="11">
        <v>2408</v>
      </c>
      <c r="B68" s="12" t="s">
        <v>170</v>
      </c>
      <c r="C68" s="405">
        <v>65880</v>
      </c>
      <c r="D68" s="351">
        <f>C68/'- 3 -'!E68</f>
        <v>0.03072870120396059</v>
      </c>
      <c r="E68" s="405">
        <f>C68/'- 7 -'!H68</f>
        <v>255.34883720930233</v>
      </c>
      <c r="F68" s="405">
        <v>0</v>
      </c>
      <c r="G68" s="351">
        <f>F68/'- 3 -'!E68</f>
        <v>0</v>
      </c>
      <c r="H68" s="405">
        <f>F68/'- 7 -'!H68</f>
        <v>0</v>
      </c>
      <c r="I68" s="405">
        <v>0</v>
      </c>
      <c r="J68" s="351">
        <f>I68/'- 3 -'!E68</f>
        <v>0</v>
      </c>
      <c r="K68" s="405">
        <f>I68/'- 7 -'!H68</f>
        <v>0</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20.83203125" style="79" customWidth="1"/>
    <col min="4" max="5" width="15.83203125" style="79" customWidth="1"/>
    <col min="6" max="6" width="45.83203125" style="79" customWidth="1"/>
    <col min="7" max="16384" width="15.83203125" style="79" customWidth="1"/>
  </cols>
  <sheetData>
    <row r="1" spans="1:6" ht="6.75" customHeight="1">
      <c r="A1" s="15"/>
      <c r="B1" s="77"/>
      <c r="C1" s="139"/>
      <c r="D1" s="139"/>
      <c r="E1" s="139"/>
      <c r="F1" s="139"/>
    </row>
    <row r="2" spans="1:6" ht="12.75">
      <c r="A2" s="6"/>
      <c r="B2" s="80"/>
      <c r="C2" s="196" t="s">
        <v>0</v>
      </c>
      <c r="D2" s="196"/>
      <c r="E2" s="196"/>
      <c r="F2" s="216" t="s">
        <v>435</v>
      </c>
    </row>
    <row r="3" spans="1:6" ht="12.75">
      <c r="A3" s="7"/>
      <c r="B3" s="83"/>
      <c r="C3" s="199" t="str">
        <f>YEAR</f>
        <v>OPERATING FUND ACTUAL 2001/2002</v>
      </c>
      <c r="D3" s="199"/>
      <c r="E3" s="199"/>
      <c r="F3" s="217"/>
    </row>
    <row r="4" spans="1:6" ht="12.75">
      <c r="A4" s="8"/>
      <c r="C4" s="139"/>
      <c r="D4" s="139"/>
      <c r="E4" s="139"/>
      <c r="F4" s="139"/>
    </row>
    <row r="5" spans="1:6" ht="16.5">
      <c r="A5" s="8"/>
      <c r="C5" s="330" t="s">
        <v>332</v>
      </c>
      <c r="D5" s="152"/>
      <c r="E5" s="125"/>
      <c r="F5" s="139"/>
    </row>
    <row r="6" spans="1:6" ht="12.75">
      <c r="A6" s="8"/>
      <c r="C6" s="64"/>
      <c r="D6" s="62"/>
      <c r="E6" s="63"/>
      <c r="F6" s="139"/>
    </row>
    <row r="7" spans="3:6" ht="12.75">
      <c r="C7" s="65" t="s">
        <v>58</v>
      </c>
      <c r="D7" s="66"/>
      <c r="E7" s="67"/>
      <c r="F7" s="139"/>
    </row>
    <row r="8" spans="1:6" ht="12.75">
      <c r="A8" s="91"/>
      <c r="B8" s="43"/>
      <c r="C8" s="70"/>
      <c r="D8" s="225"/>
      <c r="E8" s="226" t="s">
        <v>76</v>
      </c>
      <c r="F8" s="139"/>
    </row>
    <row r="9" spans="1:5" ht="12.75">
      <c r="A9" s="49" t="s">
        <v>101</v>
      </c>
      <c r="B9" s="50" t="s">
        <v>102</v>
      </c>
      <c r="C9" s="72" t="s">
        <v>103</v>
      </c>
      <c r="D9" s="73" t="s">
        <v>104</v>
      </c>
      <c r="E9" s="73" t="s">
        <v>105</v>
      </c>
    </row>
    <row r="10" spans="1:2" ht="4.5" customHeight="1">
      <c r="A10" s="74"/>
      <c r="B10" s="74"/>
    </row>
    <row r="11" spans="1:5" ht="12.75">
      <c r="A11" s="11">
        <v>1</v>
      </c>
      <c r="B11" s="12" t="s">
        <v>116</v>
      </c>
      <c r="C11" s="405">
        <v>666272</v>
      </c>
      <c r="D11" s="351">
        <f>C11/'- 3 -'!E11</f>
        <v>0.0027642288582254326</v>
      </c>
      <c r="E11" s="405">
        <f>C11/'- 7 -'!H11</f>
        <v>21.636914523613903</v>
      </c>
    </row>
    <row r="12" spans="1:5" ht="12.75">
      <c r="A12" s="13">
        <v>2</v>
      </c>
      <c r="B12" s="14" t="s">
        <v>117</v>
      </c>
      <c r="C12" s="406">
        <v>49690</v>
      </c>
      <c r="D12" s="352">
        <f>C12/'- 3 -'!E12</f>
        <v>0.0008269044521474271</v>
      </c>
      <c r="E12" s="406">
        <f>C12/'- 7 -'!H12</f>
        <v>5.435430606648312</v>
      </c>
    </row>
    <row r="13" spans="1:5" ht="12.75">
      <c r="A13" s="11">
        <v>3</v>
      </c>
      <c r="B13" s="12" t="s">
        <v>118</v>
      </c>
      <c r="C13" s="405">
        <v>107354</v>
      </c>
      <c r="D13" s="351">
        <f>C13/'- 3 -'!E13</f>
        <v>0.002557240998180103</v>
      </c>
      <c r="E13" s="405">
        <f>C13/'- 7 -'!H13</f>
        <v>18.340138378747756</v>
      </c>
    </row>
    <row r="14" spans="1:5" ht="12.75">
      <c r="A14" s="13">
        <v>4</v>
      </c>
      <c r="B14" s="14" t="s">
        <v>119</v>
      </c>
      <c r="C14" s="406">
        <v>64777</v>
      </c>
      <c r="D14" s="352">
        <f>C14/'- 3 -'!E14</f>
        <v>0.001558426489677951</v>
      </c>
      <c r="E14" s="406">
        <f>C14/'- 7 -'!H14</f>
        <v>10.9572380662404</v>
      </c>
    </row>
    <row r="15" spans="1:5" ht="12.75">
      <c r="A15" s="11">
        <v>5</v>
      </c>
      <c r="B15" s="12" t="s">
        <v>120</v>
      </c>
      <c r="C15" s="405">
        <v>60023</v>
      </c>
      <c r="D15" s="351">
        <f>C15/'- 3 -'!E15</f>
        <v>0.0011943051246539932</v>
      </c>
      <c r="E15" s="405">
        <f>C15/'- 7 -'!H15</f>
        <v>8.320695343582349</v>
      </c>
    </row>
    <row r="16" spans="1:5" ht="12.75">
      <c r="A16" s="13">
        <v>6</v>
      </c>
      <c r="B16" s="14" t="s">
        <v>121</v>
      </c>
      <c r="C16" s="406">
        <v>40899</v>
      </c>
      <c r="D16" s="352">
        <f>C16/'- 3 -'!E16</f>
        <v>0.0007061755107988185</v>
      </c>
      <c r="E16" s="406">
        <f>C16/'- 7 -'!H16</f>
        <v>4.656079234972678</v>
      </c>
    </row>
    <row r="17" spans="1:5" ht="12.75">
      <c r="A17" s="11">
        <v>9</v>
      </c>
      <c r="B17" s="12" t="s">
        <v>122</v>
      </c>
      <c r="C17" s="405">
        <v>13158</v>
      </c>
      <c r="D17" s="351">
        <f>C17/'- 3 -'!E17</f>
        <v>0.0001614049131125631</v>
      </c>
      <c r="E17" s="405">
        <f>C17/'- 7 -'!H17</f>
        <v>1.0495584962549953</v>
      </c>
    </row>
    <row r="18" spans="1:5" ht="12.75">
      <c r="A18" s="13">
        <v>10</v>
      </c>
      <c r="B18" s="14" t="s">
        <v>123</v>
      </c>
      <c r="C18" s="406">
        <v>145550.23</v>
      </c>
      <c r="D18" s="352">
        <f>C18/'- 3 -'!E18</f>
        <v>0.0024290350090690293</v>
      </c>
      <c r="E18" s="406">
        <f>C18/'- 7 -'!H18</f>
        <v>16.990629778789472</v>
      </c>
    </row>
    <row r="19" spans="1:5" ht="12.75">
      <c r="A19" s="11">
        <v>11</v>
      </c>
      <c r="B19" s="12" t="s">
        <v>124</v>
      </c>
      <c r="C19" s="405">
        <v>20866</v>
      </c>
      <c r="D19" s="351">
        <f>C19/'- 3 -'!E19</f>
        <v>0.0006454455335809387</v>
      </c>
      <c r="E19" s="405">
        <f>C19/'- 7 -'!H19</f>
        <v>4.42498144417347</v>
      </c>
    </row>
    <row r="20" spans="1:5" ht="12.75">
      <c r="A20" s="13">
        <v>12</v>
      </c>
      <c r="B20" s="14" t="s">
        <v>125</v>
      </c>
      <c r="C20" s="406">
        <v>77425</v>
      </c>
      <c r="D20" s="352">
        <f>C20/'- 3 -'!E20</f>
        <v>0.0014947379240330652</v>
      </c>
      <c r="E20" s="406">
        <f>C20/'- 7 -'!H20</f>
        <v>10.030444358077471</v>
      </c>
    </row>
    <row r="21" spans="1:5" ht="12.75">
      <c r="A21" s="11">
        <v>13</v>
      </c>
      <c r="B21" s="12" t="s">
        <v>126</v>
      </c>
      <c r="C21" s="405">
        <v>12767</v>
      </c>
      <c r="D21" s="351">
        <f>C21/'- 3 -'!E21</f>
        <v>0.0006458302317851163</v>
      </c>
      <c r="E21" s="405">
        <f>C21/'- 7 -'!H21</f>
        <v>4.774138059980555</v>
      </c>
    </row>
    <row r="22" spans="1:5" ht="12.75">
      <c r="A22" s="13">
        <v>14</v>
      </c>
      <c r="B22" s="14" t="s">
        <v>127</v>
      </c>
      <c r="C22" s="406">
        <v>32898</v>
      </c>
      <c r="D22" s="352">
        <f>C22/'- 3 -'!E22</f>
        <v>0.0014306411442205772</v>
      </c>
      <c r="E22" s="406">
        <f>C22/'- 7 -'!H22</f>
        <v>9.357986061726638</v>
      </c>
    </row>
    <row r="23" spans="1:5" ht="12.75">
      <c r="A23" s="11">
        <v>15</v>
      </c>
      <c r="B23" s="12" t="s">
        <v>128</v>
      </c>
      <c r="C23" s="405">
        <v>52499</v>
      </c>
      <c r="D23" s="351">
        <f>C23/'- 3 -'!E23</f>
        <v>0.0016412408604980283</v>
      </c>
      <c r="E23" s="405">
        <f>C23/'- 7 -'!H23</f>
        <v>8.758591925258592</v>
      </c>
    </row>
    <row r="24" spans="1:5" ht="12.75">
      <c r="A24" s="13">
        <v>16</v>
      </c>
      <c r="B24" s="14" t="s">
        <v>129</v>
      </c>
      <c r="C24" s="406">
        <v>3848</v>
      </c>
      <c r="D24" s="352">
        <f>C24/'- 3 -'!E24</f>
        <v>0.0006226622455058204</v>
      </c>
      <c r="E24" s="406">
        <f>C24/'- 7 -'!H24</f>
        <v>4.5765937202664135</v>
      </c>
    </row>
    <row r="25" spans="1:5" ht="12.75">
      <c r="A25" s="11">
        <v>17</v>
      </c>
      <c r="B25" s="12" t="s">
        <v>130</v>
      </c>
      <c r="C25" s="405">
        <v>0</v>
      </c>
      <c r="D25" s="351">
        <f>C25/'- 3 -'!E25</f>
        <v>0</v>
      </c>
      <c r="E25" s="405">
        <f>C25/'- 7 -'!H25</f>
        <v>0</v>
      </c>
    </row>
    <row r="26" spans="1:5" ht="12.75">
      <c r="A26" s="13">
        <v>18</v>
      </c>
      <c r="B26" s="14" t="s">
        <v>131</v>
      </c>
      <c r="C26" s="406">
        <v>18920</v>
      </c>
      <c r="D26" s="352">
        <f>C26/'- 3 -'!E26</f>
        <v>0.001970038420778426</v>
      </c>
      <c r="E26" s="406">
        <f>C26/'- 7 -'!H26</f>
        <v>12.86637198231894</v>
      </c>
    </row>
    <row r="27" spans="1:5" ht="12.75">
      <c r="A27" s="11">
        <v>19</v>
      </c>
      <c r="B27" s="12" t="s">
        <v>132</v>
      </c>
      <c r="C27" s="405">
        <v>16079</v>
      </c>
      <c r="D27" s="351">
        <f>C27/'- 3 -'!E27</f>
        <v>0.0010938511898663439</v>
      </c>
      <c r="E27" s="405">
        <f>C27/'- 7 -'!H27</f>
        <v>8.651600753295668</v>
      </c>
    </row>
    <row r="28" spans="1:5" ht="12.75">
      <c r="A28" s="13">
        <v>20</v>
      </c>
      <c r="B28" s="14" t="s">
        <v>133</v>
      </c>
      <c r="C28" s="406">
        <v>2319</v>
      </c>
      <c r="D28" s="352">
        <f>C28/'- 3 -'!E28</f>
        <v>0.00030678251289405976</v>
      </c>
      <c r="E28" s="406">
        <f>C28/'- 7 -'!H28</f>
        <v>2.429544264012572</v>
      </c>
    </row>
    <row r="29" spans="1:5" ht="12.75">
      <c r="A29" s="11">
        <v>21</v>
      </c>
      <c r="B29" s="12" t="s">
        <v>134</v>
      </c>
      <c r="C29" s="405">
        <v>29220</v>
      </c>
      <c r="D29" s="351">
        <f>C29/'- 3 -'!E29</f>
        <v>0.0013099910443596502</v>
      </c>
      <c r="E29" s="405">
        <f>C29/'- 7 -'!H29</f>
        <v>8.515226577298558</v>
      </c>
    </row>
    <row r="30" spans="1:5" ht="12.75">
      <c r="A30" s="13">
        <v>22</v>
      </c>
      <c r="B30" s="14" t="s">
        <v>135</v>
      </c>
      <c r="C30" s="406">
        <v>7503</v>
      </c>
      <c r="D30" s="352">
        <f>C30/'- 3 -'!E30</f>
        <v>0.0006373762423548618</v>
      </c>
      <c r="E30" s="406">
        <f>C30/'- 7 -'!H30</f>
        <v>4.249787595581988</v>
      </c>
    </row>
    <row r="31" spans="1:5" ht="12.75">
      <c r="A31" s="11">
        <v>23</v>
      </c>
      <c r="B31" s="12" t="s">
        <v>136</v>
      </c>
      <c r="C31" s="405">
        <v>6027</v>
      </c>
      <c r="D31" s="351">
        <f>C31/'- 3 -'!E31</f>
        <v>0.0005958880462109351</v>
      </c>
      <c r="E31" s="405">
        <f>C31/'- 7 -'!H31</f>
        <v>4.1912378303198885</v>
      </c>
    </row>
    <row r="32" spans="1:5" ht="12.75">
      <c r="A32" s="13">
        <v>24</v>
      </c>
      <c r="B32" s="14" t="s">
        <v>137</v>
      </c>
      <c r="C32" s="406">
        <v>57805</v>
      </c>
      <c r="D32" s="352">
        <f>C32/'- 3 -'!E32</f>
        <v>0.0025429844884765035</v>
      </c>
      <c r="E32" s="406">
        <f>C32/'- 7 -'!H32</f>
        <v>16.17828155611531</v>
      </c>
    </row>
    <row r="33" spans="1:5" ht="12.75">
      <c r="A33" s="11">
        <v>25</v>
      </c>
      <c r="B33" s="12" t="s">
        <v>138</v>
      </c>
      <c r="C33" s="405">
        <v>8580</v>
      </c>
      <c r="D33" s="351">
        <f>C33/'- 3 -'!E33</f>
        <v>0.0008165016311951585</v>
      </c>
      <c r="E33" s="405">
        <f>C33/'- 7 -'!H33</f>
        <v>5.880337194160784</v>
      </c>
    </row>
    <row r="34" spans="1:5" ht="12.75">
      <c r="A34" s="13">
        <v>26</v>
      </c>
      <c r="B34" s="14" t="s">
        <v>139</v>
      </c>
      <c r="C34" s="406">
        <v>25335</v>
      </c>
      <c r="D34" s="352">
        <f>C34/'- 3 -'!E34</f>
        <v>0.0015620213092136937</v>
      </c>
      <c r="E34" s="406">
        <f>C34/'- 7 -'!H34</f>
        <v>8.91104779993669</v>
      </c>
    </row>
    <row r="35" spans="1:5" ht="12.75">
      <c r="A35" s="11">
        <v>28</v>
      </c>
      <c r="B35" s="12" t="s">
        <v>140</v>
      </c>
      <c r="C35" s="405">
        <v>9503</v>
      </c>
      <c r="D35" s="351">
        <f>C35/'- 3 -'!E35</f>
        <v>0.0014919353382696094</v>
      </c>
      <c r="E35" s="405">
        <f>C35/'- 7 -'!H35</f>
        <v>10.782689601960696</v>
      </c>
    </row>
    <row r="36" spans="1:5" ht="12.75">
      <c r="A36" s="13">
        <v>30</v>
      </c>
      <c r="B36" s="14" t="s">
        <v>141</v>
      </c>
      <c r="C36" s="406">
        <v>5039</v>
      </c>
      <c r="D36" s="352">
        <f>C36/'- 3 -'!E36</f>
        <v>0.0005454084166292526</v>
      </c>
      <c r="E36" s="406">
        <f>C36/'- 7 -'!H36</f>
        <v>3.8710916493815777</v>
      </c>
    </row>
    <row r="37" spans="1:5" ht="12.75">
      <c r="A37" s="11">
        <v>31</v>
      </c>
      <c r="B37" s="12" t="s">
        <v>142</v>
      </c>
      <c r="C37" s="405">
        <v>11982</v>
      </c>
      <c r="D37" s="351">
        <f>C37/'- 3 -'!E37</f>
        <v>0.0011136586111221611</v>
      </c>
      <c r="E37" s="405">
        <f>C37/'- 7 -'!H37</f>
        <v>7.257419745608722</v>
      </c>
    </row>
    <row r="38" spans="1:5" ht="12.75">
      <c r="A38" s="13">
        <v>32</v>
      </c>
      <c r="B38" s="14" t="s">
        <v>143</v>
      </c>
      <c r="C38" s="406">
        <v>1257</v>
      </c>
      <c r="D38" s="352">
        <f>C38/'- 3 -'!E38</f>
        <v>0.00019815961956934735</v>
      </c>
      <c r="E38" s="406">
        <f>C38/'- 7 -'!H38</f>
        <v>1.5162846803377563</v>
      </c>
    </row>
    <row r="39" spans="1:5" ht="12.75">
      <c r="A39" s="11">
        <v>33</v>
      </c>
      <c r="B39" s="12" t="s">
        <v>144</v>
      </c>
      <c r="C39" s="405">
        <v>11773</v>
      </c>
      <c r="D39" s="351">
        <f>C39/'- 3 -'!E39</f>
        <v>0.0009055439859549535</v>
      </c>
      <c r="E39" s="405">
        <f>C39/'- 7 -'!H39</f>
        <v>6.186547556489753</v>
      </c>
    </row>
    <row r="40" spans="1:5" ht="12.75">
      <c r="A40" s="13">
        <v>34</v>
      </c>
      <c r="B40" s="14" t="s">
        <v>145</v>
      </c>
      <c r="C40" s="406">
        <v>31661.11</v>
      </c>
      <c r="D40" s="352">
        <f>C40/'- 3 -'!E40</f>
        <v>0.005469539864140944</v>
      </c>
      <c r="E40" s="406">
        <f>C40/'- 7 -'!H40</f>
        <v>43.19387448840382</v>
      </c>
    </row>
    <row r="41" spans="1:5" ht="12.75">
      <c r="A41" s="11">
        <v>35</v>
      </c>
      <c r="B41" s="12" t="s">
        <v>146</v>
      </c>
      <c r="C41" s="405">
        <v>4294</v>
      </c>
      <c r="D41" s="351">
        <f>C41/'- 3 -'!E41</f>
        <v>0.0003085035971020098</v>
      </c>
      <c r="E41" s="405">
        <f>C41/'- 7 -'!H41</f>
        <v>2.232040752676993</v>
      </c>
    </row>
    <row r="42" spans="1:5" ht="12.75">
      <c r="A42" s="13">
        <v>36</v>
      </c>
      <c r="B42" s="14" t="s">
        <v>147</v>
      </c>
      <c r="C42" s="406">
        <v>28265</v>
      </c>
      <c r="D42" s="352">
        <f>C42/'- 3 -'!E42</f>
        <v>0.003527097780681693</v>
      </c>
      <c r="E42" s="406">
        <f>C42/'- 7 -'!H42</f>
        <v>28.026772434308377</v>
      </c>
    </row>
    <row r="43" spans="1:5" ht="12.75">
      <c r="A43" s="11">
        <v>37</v>
      </c>
      <c r="B43" s="12" t="s">
        <v>148</v>
      </c>
      <c r="C43" s="405">
        <v>5189</v>
      </c>
      <c r="D43" s="351">
        <f>C43/'- 3 -'!E43</f>
        <v>0.0007550481560808774</v>
      </c>
      <c r="E43" s="405">
        <f>C43/'- 7 -'!H43</f>
        <v>5.388369678089305</v>
      </c>
    </row>
    <row r="44" spans="1:5" ht="12.75">
      <c r="A44" s="13">
        <v>38</v>
      </c>
      <c r="B44" s="14" t="s">
        <v>149</v>
      </c>
      <c r="C44" s="406">
        <v>4584</v>
      </c>
      <c r="D44" s="352">
        <f>C44/'- 3 -'!E44</f>
        <v>0.0005131139569682756</v>
      </c>
      <c r="E44" s="406">
        <f>C44/'- 7 -'!H44</f>
        <v>3.9246575342465753</v>
      </c>
    </row>
    <row r="45" spans="1:5" ht="12.75">
      <c r="A45" s="11">
        <v>39</v>
      </c>
      <c r="B45" s="12" t="s">
        <v>150</v>
      </c>
      <c r="C45" s="405">
        <v>20647</v>
      </c>
      <c r="D45" s="351">
        <f>C45/'- 3 -'!E45</f>
        <v>0.0013836514150042175</v>
      </c>
      <c r="E45" s="405">
        <f>C45/'- 7 -'!H45</f>
        <v>9.739150943396226</v>
      </c>
    </row>
    <row r="46" spans="1:5" ht="12.75">
      <c r="A46" s="13">
        <v>40</v>
      </c>
      <c r="B46" s="14" t="s">
        <v>151</v>
      </c>
      <c r="C46" s="406">
        <v>23450</v>
      </c>
      <c r="D46" s="352">
        <f>C46/'- 3 -'!E46</f>
        <v>0.000523447279584219</v>
      </c>
      <c r="E46" s="406">
        <f>C46/'- 7 -'!H46</f>
        <v>3.168490744493987</v>
      </c>
    </row>
    <row r="47" spans="1:5" ht="12.75">
      <c r="A47" s="11">
        <v>41</v>
      </c>
      <c r="B47" s="12" t="s">
        <v>152</v>
      </c>
      <c r="C47" s="405">
        <v>4796</v>
      </c>
      <c r="D47" s="351">
        <f>C47/'- 3 -'!E47</f>
        <v>0.00039076125033497025</v>
      </c>
      <c r="E47" s="405">
        <f>C47/'- 7 -'!H47</f>
        <v>2.8966600229510178</v>
      </c>
    </row>
    <row r="48" spans="1:5" ht="12.75">
      <c r="A48" s="13">
        <v>42</v>
      </c>
      <c r="B48" s="14" t="s">
        <v>153</v>
      </c>
      <c r="C48" s="406">
        <v>9844</v>
      </c>
      <c r="D48" s="352">
        <f>C48/'- 3 -'!E48</f>
        <v>0.0012736107693338747</v>
      </c>
      <c r="E48" s="406">
        <f>C48/'- 7 -'!H48</f>
        <v>9.313150425733207</v>
      </c>
    </row>
    <row r="49" spans="1:5" ht="12.75">
      <c r="A49" s="11">
        <v>43</v>
      </c>
      <c r="B49" s="12" t="s">
        <v>154</v>
      </c>
      <c r="C49" s="405">
        <v>12600</v>
      </c>
      <c r="D49" s="351">
        <f>C49/'- 3 -'!E49</f>
        <v>0.0019816150162382342</v>
      </c>
      <c r="E49" s="405">
        <f>C49/'- 7 -'!H49</f>
        <v>16.184971098265898</v>
      </c>
    </row>
    <row r="50" spans="1:5" ht="12.75">
      <c r="A50" s="13">
        <v>44</v>
      </c>
      <c r="B50" s="14" t="s">
        <v>155</v>
      </c>
      <c r="C50" s="406">
        <v>6448</v>
      </c>
      <c r="D50" s="352">
        <f>C50/'- 3 -'!E50</f>
        <v>0.0006970016605675418</v>
      </c>
      <c r="E50" s="406">
        <f>C50/'- 7 -'!H50</f>
        <v>5.185363892239646</v>
      </c>
    </row>
    <row r="51" spans="1:5" ht="12.75">
      <c r="A51" s="11">
        <v>45</v>
      </c>
      <c r="B51" s="12" t="s">
        <v>156</v>
      </c>
      <c r="C51" s="405">
        <v>600</v>
      </c>
      <c r="D51" s="351">
        <f>C51/'- 3 -'!E51</f>
        <v>4.97536943361887E-05</v>
      </c>
      <c r="E51" s="405">
        <f>C51/'- 7 -'!H51</f>
        <v>0.31845443447800015</v>
      </c>
    </row>
    <row r="52" spans="1:5" ht="12.75">
      <c r="A52" s="13">
        <v>46</v>
      </c>
      <c r="B52" s="14" t="s">
        <v>157</v>
      </c>
      <c r="C52" s="406">
        <v>56051</v>
      </c>
      <c r="D52" s="352">
        <f>C52/'- 3 -'!E52</f>
        <v>0.005123880719881628</v>
      </c>
      <c r="E52" s="406">
        <f>C52/'- 7 -'!H52</f>
        <v>38.99471267566439</v>
      </c>
    </row>
    <row r="53" spans="1:5" ht="12.75">
      <c r="A53" s="11">
        <v>47</v>
      </c>
      <c r="B53" s="12" t="s">
        <v>158</v>
      </c>
      <c r="C53" s="405">
        <v>16644</v>
      </c>
      <c r="D53" s="351">
        <f>C53/'- 3 -'!E53</f>
        <v>0.0018073160466297096</v>
      </c>
      <c r="E53" s="405">
        <f>C53/'- 7 -'!H53</f>
        <v>11.506394745938472</v>
      </c>
    </row>
    <row r="54" spans="1:5" ht="12.75">
      <c r="A54" s="13">
        <v>48</v>
      </c>
      <c r="B54" s="14" t="s">
        <v>159</v>
      </c>
      <c r="C54" s="406">
        <v>13113</v>
      </c>
      <c r="D54" s="352">
        <f>C54/'- 3 -'!E54</f>
        <v>0.00022077876531550612</v>
      </c>
      <c r="E54" s="406">
        <f>C54/'- 7 -'!H54</f>
        <v>2.5083688811523235</v>
      </c>
    </row>
    <row r="55" spans="1:5" ht="12.75">
      <c r="A55" s="11">
        <v>49</v>
      </c>
      <c r="B55" s="12" t="s">
        <v>160</v>
      </c>
      <c r="C55" s="405">
        <v>37536</v>
      </c>
      <c r="D55" s="351">
        <f>C55/'- 3 -'!E55</f>
        <v>0.0010362344428526892</v>
      </c>
      <c r="E55" s="405">
        <f>C55/'- 7 -'!H55</f>
        <v>8.80961321817499</v>
      </c>
    </row>
    <row r="56" spans="1:5" ht="12.75">
      <c r="A56" s="13">
        <v>50</v>
      </c>
      <c r="B56" s="14" t="s">
        <v>343</v>
      </c>
      <c r="C56" s="406">
        <v>17049</v>
      </c>
      <c r="D56" s="352">
        <f>C56/'- 3 -'!E56</f>
        <v>0.0011827888508570484</v>
      </c>
      <c r="E56" s="406">
        <f>C56/'- 7 -'!H56</f>
        <v>9.67428928105317</v>
      </c>
    </row>
    <row r="57" spans="1:5" ht="12.75">
      <c r="A57" s="11">
        <v>2264</v>
      </c>
      <c r="B57" s="12" t="s">
        <v>161</v>
      </c>
      <c r="C57" s="405">
        <v>0</v>
      </c>
      <c r="D57" s="351">
        <f>C57/'- 3 -'!E57</f>
        <v>0</v>
      </c>
      <c r="E57" s="405">
        <f>C57/'- 7 -'!H57</f>
        <v>0</v>
      </c>
    </row>
    <row r="58" spans="1:5" ht="12.75">
      <c r="A58" s="13">
        <v>2309</v>
      </c>
      <c r="B58" s="14" t="s">
        <v>162</v>
      </c>
      <c r="C58" s="406">
        <v>8451</v>
      </c>
      <c r="D58" s="352">
        <f>C58/'- 3 -'!E58</f>
        <v>0.0037308392202983084</v>
      </c>
      <c r="E58" s="406">
        <f>C58/'- 7 -'!H58</f>
        <v>32.416570771001155</v>
      </c>
    </row>
    <row r="59" spans="1:5" ht="12.75">
      <c r="A59" s="11">
        <v>2312</v>
      </c>
      <c r="B59" s="12" t="s">
        <v>163</v>
      </c>
      <c r="C59" s="405">
        <v>0</v>
      </c>
      <c r="D59" s="351">
        <f>C59/'- 3 -'!E59</f>
        <v>0</v>
      </c>
      <c r="E59" s="405">
        <f>C59/'- 7 -'!H59</f>
        <v>0</v>
      </c>
    </row>
    <row r="60" spans="1:5" ht="12.75">
      <c r="A60" s="13">
        <v>2355</v>
      </c>
      <c r="B60" s="14" t="s">
        <v>164</v>
      </c>
      <c r="C60" s="406">
        <v>22350</v>
      </c>
      <c r="D60" s="352">
        <f>C60/'- 3 -'!E60</f>
        <v>0.0008984886758364669</v>
      </c>
      <c r="E60" s="406">
        <f>C60/'- 7 -'!H60</f>
        <v>6.7292927468160055</v>
      </c>
    </row>
    <row r="61" spans="1:5" ht="12.75">
      <c r="A61" s="11">
        <v>2439</v>
      </c>
      <c r="B61" s="12" t="s">
        <v>165</v>
      </c>
      <c r="C61" s="405">
        <v>0</v>
      </c>
      <c r="D61" s="351">
        <f>C61/'- 3 -'!E61</f>
        <v>0</v>
      </c>
      <c r="E61" s="405">
        <f>C61/'- 7 -'!H61</f>
        <v>0</v>
      </c>
    </row>
    <row r="62" spans="1:5" ht="12.75">
      <c r="A62" s="13">
        <v>2460</v>
      </c>
      <c r="B62" s="14" t="s">
        <v>166</v>
      </c>
      <c r="C62" s="406">
        <v>5636</v>
      </c>
      <c r="D62" s="352">
        <f>C62/'- 3 -'!E62</f>
        <v>0.001705544775694837</v>
      </c>
      <c r="E62" s="406">
        <f>C62/'- 7 -'!H62</f>
        <v>20.705363703159442</v>
      </c>
    </row>
    <row r="63" spans="1:5" ht="12.75">
      <c r="A63" s="11">
        <v>3000</v>
      </c>
      <c r="B63" s="12" t="s">
        <v>366</v>
      </c>
      <c r="C63" s="405">
        <v>0</v>
      </c>
      <c r="D63" s="351">
        <f>C63/'- 3 -'!E63</f>
        <v>0</v>
      </c>
      <c r="E63" s="405">
        <f>C63/'- 7 -'!H63</f>
        <v>0</v>
      </c>
    </row>
    <row r="64" spans="1:5" ht="4.5" customHeight="1">
      <c r="A64" s="15"/>
      <c r="B64" s="15"/>
      <c r="C64" s="412"/>
      <c r="D64" s="194"/>
      <c r="E64" s="412"/>
    </row>
    <row r="65" spans="1:6" ht="12.75">
      <c r="A65" s="17"/>
      <c r="B65" s="18" t="s">
        <v>167</v>
      </c>
      <c r="C65" s="407">
        <f>SUM(C11:C63)</f>
        <v>1888576.34</v>
      </c>
      <c r="D65" s="100">
        <f>C65/'- 3 -'!E65</f>
        <v>0.0014554808573426156</v>
      </c>
      <c r="E65" s="407">
        <f>C65/'- 7 -'!H65</f>
        <v>10.420795745816578</v>
      </c>
      <c r="F65" s="148"/>
    </row>
    <row r="66" spans="1:5" ht="4.5" customHeight="1">
      <c r="A66" s="15"/>
      <c r="B66" s="15"/>
      <c r="C66" s="412"/>
      <c r="D66" s="194"/>
      <c r="E66" s="412"/>
    </row>
    <row r="67" spans="1:5" ht="12.75">
      <c r="A67" s="13">
        <v>2155</v>
      </c>
      <c r="B67" s="14" t="s">
        <v>168</v>
      </c>
      <c r="C67" s="406">
        <v>0</v>
      </c>
      <c r="D67" s="352">
        <f>C67/'- 3 -'!E67</f>
        <v>0</v>
      </c>
      <c r="E67" s="406">
        <f>C67/'- 7 -'!H67</f>
        <v>0</v>
      </c>
    </row>
    <row r="68" spans="1:5" ht="12.75">
      <c r="A68" s="11">
        <v>2408</v>
      </c>
      <c r="B68" s="12" t="s">
        <v>170</v>
      </c>
      <c r="C68" s="405">
        <v>3763</v>
      </c>
      <c r="D68" s="351">
        <f>C68/'- 3 -'!E68</f>
        <v>0.0017551928146706693</v>
      </c>
      <c r="E68" s="405">
        <f>C68/'- 7 -'!H68</f>
        <v>14.585271317829458</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15.83203125" style="79" customWidth="1"/>
    <col min="5" max="5" width="16.83203125" style="79" customWidth="1"/>
    <col min="6" max="6" width="15.83203125" style="79" customWidth="1"/>
    <col min="7" max="7" width="16.83203125" style="79" customWidth="1"/>
    <col min="8" max="16384" width="15.83203125" style="79" customWidth="1"/>
  </cols>
  <sheetData>
    <row r="1" spans="1:8" ht="6.75" customHeight="1">
      <c r="A1" s="15"/>
      <c r="B1" s="77"/>
      <c r="C1" s="139"/>
      <c r="D1" s="139"/>
      <c r="E1" s="139"/>
      <c r="F1" s="139"/>
      <c r="G1" s="139"/>
      <c r="H1" s="139"/>
    </row>
    <row r="2" spans="1:8" ht="12.75">
      <c r="A2" s="6"/>
      <c r="B2" s="80"/>
      <c r="C2" s="196" t="s">
        <v>0</v>
      </c>
      <c r="D2" s="196"/>
      <c r="E2" s="196"/>
      <c r="F2" s="196"/>
      <c r="G2" s="211"/>
      <c r="H2" s="216" t="s">
        <v>434</v>
      </c>
    </row>
    <row r="3" spans="1:8" ht="12.75">
      <c r="A3" s="7"/>
      <c r="B3" s="83"/>
      <c r="C3" s="199" t="str">
        <f>YEAR</f>
        <v>OPERATING FUND ACTUAL 2001/2002</v>
      </c>
      <c r="D3" s="199"/>
      <c r="E3" s="199"/>
      <c r="F3" s="199"/>
      <c r="G3" s="212"/>
      <c r="H3" s="217"/>
    </row>
    <row r="4" spans="1:8" ht="12.75">
      <c r="A4" s="8"/>
      <c r="C4" s="139"/>
      <c r="D4" s="139"/>
      <c r="E4" s="139"/>
      <c r="F4" s="139"/>
      <c r="G4" s="139"/>
      <c r="H4" s="139"/>
    </row>
    <row r="5" spans="1:8" ht="12.75">
      <c r="A5" s="8"/>
      <c r="C5" s="54"/>
      <c r="D5" s="139"/>
      <c r="E5" s="139"/>
      <c r="F5" s="139"/>
      <c r="G5" s="139"/>
      <c r="H5" s="139"/>
    </row>
    <row r="6" spans="1:8" ht="16.5">
      <c r="A6" s="8"/>
      <c r="C6" s="331" t="s">
        <v>26</v>
      </c>
      <c r="D6" s="218"/>
      <c r="E6" s="219"/>
      <c r="F6" s="219"/>
      <c r="G6" s="219"/>
      <c r="H6" s="220"/>
    </row>
    <row r="7" spans="3:8" ht="12.75">
      <c r="C7" s="201"/>
      <c r="D7" s="63"/>
      <c r="E7" s="64"/>
      <c r="F7" s="63"/>
      <c r="G7" s="64" t="s">
        <v>59</v>
      </c>
      <c r="H7" s="63"/>
    </row>
    <row r="8" spans="1:8" ht="12.75">
      <c r="A8" s="91"/>
      <c r="B8" s="43"/>
      <c r="C8" s="65" t="s">
        <v>38</v>
      </c>
      <c r="D8" s="67"/>
      <c r="E8" s="65" t="s">
        <v>80</v>
      </c>
      <c r="F8" s="67"/>
      <c r="G8" s="65" t="s">
        <v>81</v>
      </c>
      <c r="H8" s="67"/>
    </row>
    <row r="9" spans="1:8" ht="12.75">
      <c r="A9" s="49" t="s">
        <v>101</v>
      </c>
      <c r="B9" s="50" t="s">
        <v>102</v>
      </c>
      <c r="C9" s="221" t="s">
        <v>103</v>
      </c>
      <c r="D9" s="130" t="s">
        <v>104</v>
      </c>
      <c r="E9" s="130" t="s">
        <v>103</v>
      </c>
      <c r="F9" s="130" t="s">
        <v>104</v>
      </c>
      <c r="G9" s="130" t="s">
        <v>103</v>
      </c>
      <c r="H9" s="130" t="s">
        <v>104</v>
      </c>
    </row>
    <row r="10" spans="1:2" ht="4.5" customHeight="1">
      <c r="A10" s="74"/>
      <c r="B10" s="74"/>
    </row>
    <row r="11" spans="1:8" ht="12.75">
      <c r="A11" s="11">
        <v>1</v>
      </c>
      <c r="B11" s="12" t="s">
        <v>116</v>
      </c>
      <c r="C11" s="405">
        <v>170926</v>
      </c>
      <c r="D11" s="351">
        <f>C11/'- 3 -'!E11</f>
        <v>0.0007091376822394462</v>
      </c>
      <c r="E11" s="405">
        <v>2408169</v>
      </c>
      <c r="F11" s="351">
        <f>E11/'- 3 -'!E11</f>
        <v>0.00999101004587298</v>
      </c>
      <c r="G11" s="405">
        <v>0</v>
      </c>
      <c r="H11" s="351">
        <f>G11/'- 3 -'!E11</f>
        <v>0</v>
      </c>
    </row>
    <row r="12" spans="1:8" ht="12.75">
      <c r="A12" s="13">
        <v>2</v>
      </c>
      <c r="B12" s="14" t="s">
        <v>117</v>
      </c>
      <c r="C12" s="406">
        <v>50559</v>
      </c>
      <c r="D12" s="352">
        <f>C12/'- 3 -'!E12</f>
        <v>0.0008413657113326981</v>
      </c>
      <c r="E12" s="406">
        <v>885836</v>
      </c>
      <c r="F12" s="352">
        <f>E12/'- 3 -'!E12</f>
        <v>0.014741431520878813</v>
      </c>
      <c r="G12" s="406">
        <v>17157</v>
      </c>
      <c r="H12" s="352">
        <f>G12/'- 3 -'!E12</f>
        <v>0.0002855141816360114</v>
      </c>
    </row>
    <row r="13" spans="1:8" ht="12.75">
      <c r="A13" s="11">
        <v>3</v>
      </c>
      <c r="B13" s="12" t="s">
        <v>118</v>
      </c>
      <c r="C13" s="405">
        <v>58681</v>
      </c>
      <c r="D13" s="351">
        <f>C13/'- 3 -'!E13</f>
        <v>0.0013978189821916894</v>
      </c>
      <c r="E13" s="405">
        <v>526484</v>
      </c>
      <c r="F13" s="351">
        <f>E13/'- 3 -'!E13</f>
        <v>0.01254118588674715</v>
      </c>
      <c r="G13" s="405">
        <v>4002</v>
      </c>
      <c r="H13" s="351">
        <f>G13/'- 3 -'!E13</f>
        <v>9.533020171318043E-05</v>
      </c>
    </row>
    <row r="14" spans="1:8" ht="12.75">
      <c r="A14" s="13">
        <v>4</v>
      </c>
      <c r="B14" s="14" t="s">
        <v>119</v>
      </c>
      <c r="C14" s="406">
        <v>128921</v>
      </c>
      <c r="D14" s="352">
        <f>C14/'- 3 -'!E14</f>
        <v>0.0031016240560040004</v>
      </c>
      <c r="E14" s="406">
        <v>434254</v>
      </c>
      <c r="F14" s="352">
        <f>E14/'- 3 -'!E14</f>
        <v>0.010447426352696312</v>
      </c>
      <c r="G14" s="406">
        <v>0</v>
      </c>
      <c r="H14" s="352">
        <f>G14/'- 3 -'!E14</f>
        <v>0</v>
      </c>
    </row>
    <row r="15" spans="1:8" ht="12.75">
      <c r="A15" s="11">
        <v>5</v>
      </c>
      <c r="B15" s="12" t="s">
        <v>120</v>
      </c>
      <c r="C15" s="405">
        <v>92931</v>
      </c>
      <c r="D15" s="351">
        <f>C15/'- 3 -'!E15</f>
        <v>0.0018490906742285498</v>
      </c>
      <c r="E15" s="405">
        <v>453357</v>
      </c>
      <c r="F15" s="351">
        <f>E15/'- 3 -'!E15</f>
        <v>0.00902065189007148</v>
      </c>
      <c r="G15" s="405">
        <v>10948</v>
      </c>
      <c r="H15" s="351">
        <f>G15/'- 3 -'!E15</f>
        <v>0.00021783737075307662</v>
      </c>
    </row>
    <row r="16" spans="1:8" ht="12.75">
      <c r="A16" s="13">
        <v>6</v>
      </c>
      <c r="B16" s="14" t="s">
        <v>121</v>
      </c>
      <c r="C16" s="406">
        <v>50834</v>
      </c>
      <c r="D16" s="352">
        <f>C16/'- 3 -'!E16</f>
        <v>0.0008777164702302536</v>
      </c>
      <c r="E16" s="406">
        <v>748207</v>
      </c>
      <c r="F16" s="352">
        <f>E16/'- 3 -'!E16</f>
        <v>0.012918786777384571</v>
      </c>
      <c r="G16" s="406">
        <v>5446</v>
      </c>
      <c r="H16" s="352">
        <f>G16/'- 3 -'!E16</f>
        <v>9.403241721827833E-05</v>
      </c>
    </row>
    <row r="17" spans="1:8" ht="12.75">
      <c r="A17" s="11">
        <v>9</v>
      </c>
      <c r="B17" s="12" t="s">
        <v>122</v>
      </c>
      <c r="C17" s="405">
        <v>236490</v>
      </c>
      <c r="D17" s="351">
        <f>C17/'- 3 -'!E17</f>
        <v>0.00290094603298298</v>
      </c>
      <c r="E17" s="405">
        <v>1387838</v>
      </c>
      <c r="F17" s="351">
        <f>E17/'- 3 -'!E17</f>
        <v>0.017024158063863305</v>
      </c>
      <c r="G17" s="405">
        <v>6741</v>
      </c>
      <c r="H17" s="351">
        <f>G17/'- 3 -'!E17</f>
        <v>8.268965794891229E-05</v>
      </c>
    </row>
    <row r="18" spans="1:8" ht="12.75">
      <c r="A18" s="13">
        <v>10</v>
      </c>
      <c r="B18" s="14" t="s">
        <v>123</v>
      </c>
      <c r="C18" s="406">
        <v>228754.63</v>
      </c>
      <c r="D18" s="352">
        <f>C18/'- 3 -'!E18</f>
        <v>0.0038176030691028963</v>
      </c>
      <c r="E18" s="406">
        <v>1499441.71</v>
      </c>
      <c r="F18" s="352">
        <f>E18/'- 3 -'!E18</f>
        <v>0.025023638970878514</v>
      </c>
      <c r="G18" s="406">
        <v>0</v>
      </c>
      <c r="H18" s="352">
        <f>G18/'- 3 -'!E18</f>
        <v>0</v>
      </c>
    </row>
    <row r="19" spans="1:8" ht="12.75">
      <c r="A19" s="11">
        <v>11</v>
      </c>
      <c r="B19" s="12" t="s">
        <v>124</v>
      </c>
      <c r="C19" s="405">
        <v>101069</v>
      </c>
      <c r="D19" s="351">
        <f>C19/'- 3 -'!E19</f>
        <v>0.0031263555369257113</v>
      </c>
      <c r="E19" s="405">
        <v>1438261</v>
      </c>
      <c r="F19" s="351">
        <f>E19/'- 3 -'!E19</f>
        <v>0.04448955902298737</v>
      </c>
      <c r="G19" s="405">
        <v>6920</v>
      </c>
      <c r="H19" s="351">
        <f>G19/'- 3 -'!E19</f>
        <v>0.00021405554933289061</v>
      </c>
    </row>
    <row r="20" spans="1:8" ht="12.75">
      <c r="A20" s="13">
        <v>12</v>
      </c>
      <c r="B20" s="14" t="s">
        <v>125</v>
      </c>
      <c r="C20" s="406">
        <v>239256</v>
      </c>
      <c r="D20" s="352">
        <f>C20/'- 3 -'!E20</f>
        <v>0.004618986331965839</v>
      </c>
      <c r="E20" s="406">
        <v>1595759</v>
      </c>
      <c r="F20" s="352">
        <f>E20/'- 3 -'!E20</f>
        <v>0.03080712295663003</v>
      </c>
      <c r="G20" s="406">
        <v>16884</v>
      </c>
      <c r="H20" s="352">
        <f>G20/'- 3 -'!E20</f>
        <v>0.0003259561525266293</v>
      </c>
    </row>
    <row r="21" spans="1:8" ht="12.75">
      <c r="A21" s="11">
        <v>13</v>
      </c>
      <c r="B21" s="12" t="s">
        <v>126</v>
      </c>
      <c r="C21" s="405">
        <v>39559</v>
      </c>
      <c r="D21" s="351">
        <f>C21/'- 3 -'!E21</f>
        <v>0.0020011277621357734</v>
      </c>
      <c r="E21" s="405">
        <v>1357311</v>
      </c>
      <c r="F21" s="351">
        <f>E21/'- 3 -'!E21</f>
        <v>0.06866080345691924</v>
      </c>
      <c r="G21" s="405">
        <v>10645</v>
      </c>
      <c r="H21" s="351">
        <f>G21/'- 3 -'!E21</f>
        <v>0.0005384869442588363</v>
      </c>
    </row>
    <row r="22" spans="1:8" ht="12.75">
      <c r="A22" s="13">
        <v>14</v>
      </c>
      <c r="B22" s="14" t="s">
        <v>127</v>
      </c>
      <c r="C22" s="406">
        <v>85116</v>
      </c>
      <c r="D22" s="352">
        <f>C22/'- 3 -'!E22</f>
        <v>0.0037014545453060567</v>
      </c>
      <c r="E22" s="406">
        <v>1465303</v>
      </c>
      <c r="F22" s="352">
        <f>E22/'- 3 -'!E22</f>
        <v>0.06372189070915692</v>
      </c>
      <c r="G22" s="406">
        <v>4756</v>
      </c>
      <c r="H22" s="352">
        <f>G22/'- 3 -'!E22</f>
        <v>0.0002068250131288548</v>
      </c>
    </row>
    <row r="23" spans="1:8" ht="12.75">
      <c r="A23" s="11">
        <v>15</v>
      </c>
      <c r="B23" s="12" t="s">
        <v>128</v>
      </c>
      <c r="C23" s="405">
        <v>85464</v>
      </c>
      <c r="D23" s="351">
        <f>C23/'- 3 -'!E23</f>
        <v>0.0026718034420008664</v>
      </c>
      <c r="E23" s="405">
        <v>1575583</v>
      </c>
      <c r="F23" s="351">
        <f>E23/'- 3 -'!E23</f>
        <v>0.04925638962087021</v>
      </c>
      <c r="G23" s="405">
        <v>2609</v>
      </c>
      <c r="H23" s="351">
        <f>G23/'- 3 -'!E23</f>
        <v>8.156340892282436E-05</v>
      </c>
    </row>
    <row r="24" spans="1:8" ht="12.75">
      <c r="A24" s="13">
        <v>16</v>
      </c>
      <c r="B24" s="14" t="s">
        <v>129</v>
      </c>
      <c r="C24" s="406">
        <v>36082.45</v>
      </c>
      <c r="D24" s="352">
        <f>C24/'- 3 -'!E24</f>
        <v>0.005838664069737913</v>
      </c>
      <c r="E24" s="406">
        <v>557180.85</v>
      </c>
      <c r="F24" s="352">
        <f>E24/'- 3 -'!E24</f>
        <v>0.09015994782064493</v>
      </c>
      <c r="G24" s="406">
        <v>0</v>
      </c>
      <c r="H24" s="352">
        <f>G24/'- 3 -'!E24</f>
        <v>0</v>
      </c>
    </row>
    <row r="25" spans="1:8" ht="12.75">
      <c r="A25" s="11">
        <v>17</v>
      </c>
      <c r="B25" s="12" t="s">
        <v>130</v>
      </c>
      <c r="C25" s="405">
        <v>20563</v>
      </c>
      <c r="D25" s="351">
        <f>C25/'- 3 -'!E25</f>
        <v>0.004939578147102574</v>
      </c>
      <c r="E25" s="405">
        <v>341004</v>
      </c>
      <c r="F25" s="351">
        <f>E25/'- 3 -'!E25</f>
        <v>0.0819148911381883</v>
      </c>
      <c r="G25" s="405">
        <v>0</v>
      </c>
      <c r="H25" s="351">
        <f>G25/'- 3 -'!E25</f>
        <v>0</v>
      </c>
    </row>
    <row r="26" spans="1:8" ht="12.75">
      <c r="A26" s="13">
        <v>18</v>
      </c>
      <c r="B26" s="14" t="s">
        <v>131</v>
      </c>
      <c r="C26" s="406">
        <v>41442</v>
      </c>
      <c r="D26" s="352">
        <f>C26/'- 3 -'!E26</f>
        <v>0.004315133839001032</v>
      </c>
      <c r="E26" s="406">
        <v>605638</v>
      </c>
      <c r="F26" s="352">
        <f>E26/'- 3 -'!E26</f>
        <v>0.06306184614605731</v>
      </c>
      <c r="G26" s="406">
        <v>-8305</v>
      </c>
      <c r="H26" s="352">
        <f>G26/'- 3 -'!E26</f>
        <v>-0.0008647552370277393</v>
      </c>
    </row>
    <row r="27" spans="1:8" ht="12.75">
      <c r="A27" s="11">
        <v>19</v>
      </c>
      <c r="B27" s="12" t="s">
        <v>132</v>
      </c>
      <c r="C27" s="405">
        <v>52508</v>
      </c>
      <c r="D27" s="351">
        <f>C27/'- 3 -'!E27</f>
        <v>0.003572108854872939</v>
      </c>
      <c r="E27" s="405">
        <v>1007176.5</v>
      </c>
      <c r="F27" s="351">
        <f>E27/'- 3 -'!E27</f>
        <v>0.06851801809381303</v>
      </c>
      <c r="G27" s="405">
        <v>13713</v>
      </c>
      <c r="H27" s="351">
        <f>G27/'- 3 -'!E27</f>
        <v>0.0009328926778180965</v>
      </c>
    </row>
    <row r="28" spans="1:8" ht="12.75">
      <c r="A28" s="13">
        <v>20</v>
      </c>
      <c r="B28" s="14" t="s">
        <v>133</v>
      </c>
      <c r="C28" s="406">
        <v>32213</v>
      </c>
      <c r="D28" s="352">
        <f>C28/'- 3 -'!E28</f>
        <v>0.0042614855920035995</v>
      </c>
      <c r="E28" s="406">
        <v>457489</v>
      </c>
      <c r="F28" s="352">
        <f>E28/'- 3 -'!E28</f>
        <v>0.06052161493807266</v>
      </c>
      <c r="G28" s="406">
        <v>527</v>
      </c>
      <c r="H28" s="352">
        <f>G28/'- 3 -'!E28</f>
        <v>6.971728516393683E-05</v>
      </c>
    </row>
    <row r="29" spans="1:8" ht="12.75">
      <c r="A29" s="11">
        <v>21</v>
      </c>
      <c r="B29" s="12" t="s">
        <v>134</v>
      </c>
      <c r="C29" s="405">
        <v>97247</v>
      </c>
      <c r="D29" s="351">
        <f>C29/'- 3 -'!E29</f>
        <v>0.004359777518509339</v>
      </c>
      <c r="E29" s="405">
        <v>1366668</v>
      </c>
      <c r="F29" s="351">
        <f>E29/'- 3 -'!E29</f>
        <v>0.06127045997990809</v>
      </c>
      <c r="G29" s="405">
        <v>4718</v>
      </c>
      <c r="H29" s="351">
        <f>G29/'- 3 -'!E29</f>
        <v>0.00021151737670392984</v>
      </c>
    </row>
    <row r="30" spans="1:8" ht="12.75">
      <c r="A30" s="13">
        <v>22</v>
      </c>
      <c r="B30" s="14" t="s">
        <v>135</v>
      </c>
      <c r="C30" s="406">
        <v>54734</v>
      </c>
      <c r="D30" s="352">
        <f>C30/'- 3 -'!E30</f>
        <v>0.004649626982413836</v>
      </c>
      <c r="E30" s="406">
        <v>791137</v>
      </c>
      <c r="F30" s="352">
        <f>E30/'- 3 -'!E30</f>
        <v>0.06720670774995313</v>
      </c>
      <c r="G30" s="406">
        <v>0</v>
      </c>
      <c r="H30" s="352">
        <f>G30/'- 3 -'!E30</f>
        <v>0</v>
      </c>
    </row>
    <row r="31" spans="1:8" ht="12.75">
      <c r="A31" s="11">
        <v>23</v>
      </c>
      <c r="B31" s="12" t="s">
        <v>136</v>
      </c>
      <c r="C31" s="405">
        <v>40099</v>
      </c>
      <c r="D31" s="351">
        <f>C31/'- 3 -'!E31</f>
        <v>0.003964578524143402</v>
      </c>
      <c r="E31" s="405">
        <v>1069633</v>
      </c>
      <c r="F31" s="351">
        <f>E31/'- 3 -'!E31</f>
        <v>0.10575435847564976</v>
      </c>
      <c r="G31" s="405">
        <v>1858</v>
      </c>
      <c r="H31" s="351">
        <f>G31/'- 3 -'!E31</f>
        <v>0.00018370001490955988</v>
      </c>
    </row>
    <row r="32" spans="1:8" ht="12.75">
      <c r="A32" s="13">
        <v>24</v>
      </c>
      <c r="B32" s="14" t="s">
        <v>137</v>
      </c>
      <c r="C32" s="406">
        <v>49433</v>
      </c>
      <c r="D32" s="352">
        <f>C32/'- 3 -'!E32</f>
        <v>0.0021746795643778046</v>
      </c>
      <c r="E32" s="406">
        <v>664696</v>
      </c>
      <c r="F32" s="352">
        <f>E32/'- 3 -'!E32</f>
        <v>0.029241616080829997</v>
      </c>
      <c r="G32" s="406">
        <v>3720</v>
      </c>
      <c r="H32" s="352">
        <f>G32/'- 3 -'!E32</f>
        <v>0.00016365197296311034</v>
      </c>
    </row>
    <row r="33" spans="1:8" ht="12.75">
      <c r="A33" s="11">
        <v>25</v>
      </c>
      <c r="B33" s="12" t="s">
        <v>138</v>
      </c>
      <c r="C33" s="405">
        <v>23826</v>
      </c>
      <c r="D33" s="351">
        <f>C33/'- 3 -'!E33</f>
        <v>0.002267362222011171</v>
      </c>
      <c r="E33" s="405">
        <v>803887</v>
      </c>
      <c r="F33" s="351">
        <f>E33/'- 3 -'!E33</f>
        <v>0.07650058820472988</v>
      </c>
      <c r="G33" s="405">
        <v>0</v>
      </c>
      <c r="H33" s="351">
        <f>G33/'- 3 -'!E33</f>
        <v>0</v>
      </c>
    </row>
    <row r="34" spans="1:8" ht="12.75">
      <c r="A34" s="13">
        <v>26</v>
      </c>
      <c r="B34" s="14" t="s">
        <v>139</v>
      </c>
      <c r="C34" s="406">
        <v>40417</v>
      </c>
      <c r="D34" s="352">
        <f>C34/'- 3 -'!E34</f>
        <v>0.0024918971878622404</v>
      </c>
      <c r="E34" s="406">
        <v>522014</v>
      </c>
      <c r="F34" s="352">
        <f>E34/'- 3 -'!E34</f>
        <v>0.0321846059486038</v>
      </c>
      <c r="G34" s="406">
        <v>17188</v>
      </c>
      <c r="H34" s="352">
        <f>G34/'- 3 -'!E34</f>
        <v>0.0010597206340148004</v>
      </c>
    </row>
    <row r="35" spans="1:8" ht="12.75">
      <c r="A35" s="11">
        <v>28</v>
      </c>
      <c r="B35" s="12" t="s">
        <v>140</v>
      </c>
      <c r="C35" s="405">
        <v>50525</v>
      </c>
      <c r="D35" s="351">
        <f>C35/'- 3 -'!E35</f>
        <v>0.007932235395777336</v>
      </c>
      <c r="E35" s="405">
        <v>423376</v>
      </c>
      <c r="F35" s="351">
        <f>E35/'- 3 -'!E35</f>
        <v>0.06646844320480208</v>
      </c>
      <c r="G35" s="405">
        <v>0</v>
      </c>
      <c r="H35" s="351">
        <f>G35/'- 3 -'!E35</f>
        <v>0</v>
      </c>
    </row>
    <row r="36" spans="1:8" ht="12.75">
      <c r="A36" s="13">
        <v>30</v>
      </c>
      <c r="B36" s="14" t="s">
        <v>141</v>
      </c>
      <c r="C36" s="406">
        <v>43472</v>
      </c>
      <c r="D36" s="352">
        <f>C36/'- 3 -'!E36</f>
        <v>0.0047052976161355165</v>
      </c>
      <c r="E36" s="406">
        <v>809026</v>
      </c>
      <c r="F36" s="352">
        <f>E36/'- 3 -'!E36</f>
        <v>0.08756689614445282</v>
      </c>
      <c r="G36" s="406">
        <v>990</v>
      </c>
      <c r="H36" s="352">
        <f>G36/'- 3 -'!E36</f>
        <v>0.00010715505704762057</v>
      </c>
    </row>
    <row r="37" spans="1:8" ht="12.75">
      <c r="A37" s="11">
        <v>31</v>
      </c>
      <c r="B37" s="12" t="s">
        <v>142</v>
      </c>
      <c r="C37" s="405">
        <v>60464</v>
      </c>
      <c r="D37" s="351">
        <f>C37/'- 3 -'!E37</f>
        <v>0.005619784198204836</v>
      </c>
      <c r="E37" s="405">
        <v>654954</v>
      </c>
      <c r="F37" s="351">
        <f>E37/'- 3 -'!E37</f>
        <v>0.06087424152803404</v>
      </c>
      <c r="G37" s="405">
        <v>1883</v>
      </c>
      <c r="H37" s="351">
        <f>G37/'- 3 -'!E37</f>
        <v>0.00017501411823927804</v>
      </c>
    </row>
    <row r="38" spans="1:8" ht="12.75">
      <c r="A38" s="13">
        <v>32</v>
      </c>
      <c r="B38" s="14" t="s">
        <v>143</v>
      </c>
      <c r="C38" s="406">
        <v>34813</v>
      </c>
      <c r="D38" s="352">
        <f>C38/'- 3 -'!E38</f>
        <v>0.005488091357253531</v>
      </c>
      <c r="E38" s="406">
        <v>601442</v>
      </c>
      <c r="F38" s="352">
        <f>E38/'- 3 -'!E38</f>
        <v>0.09481425450519285</v>
      </c>
      <c r="G38" s="406">
        <v>4205</v>
      </c>
      <c r="H38" s="352">
        <f>G38/'- 3 -'!E38</f>
        <v>0.0006628967384957085</v>
      </c>
    </row>
    <row r="39" spans="1:8" ht="12.75">
      <c r="A39" s="11">
        <v>33</v>
      </c>
      <c r="B39" s="12" t="s">
        <v>144</v>
      </c>
      <c r="C39" s="405">
        <v>63815</v>
      </c>
      <c r="D39" s="351">
        <f>C39/'- 3 -'!E39</f>
        <v>0.004908459140721597</v>
      </c>
      <c r="E39" s="405">
        <v>513519</v>
      </c>
      <c r="F39" s="351">
        <f>E39/'- 3 -'!E39</f>
        <v>0.03949834724569794</v>
      </c>
      <c r="G39" s="405">
        <v>0</v>
      </c>
      <c r="H39" s="351">
        <f>G39/'- 3 -'!E39</f>
        <v>0</v>
      </c>
    </row>
    <row r="40" spans="1:8" ht="12.75">
      <c r="A40" s="13">
        <v>34</v>
      </c>
      <c r="B40" s="14" t="s">
        <v>145</v>
      </c>
      <c r="C40" s="406">
        <v>47058.71</v>
      </c>
      <c r="D40" s="352">
        <f>C40/'- 3 -'!E40</f>
        <v>0.00812951568343776</v>
      </c>
      <c r="E40" s="406">
        <v>511971.13</v>
      </c>
      <c r="F40" s="352">
        <f>E40/'- 3 -'!E40</f>
        <v>0.0884443566515604</v>
      </c>
      <c r="G40" s="406">
        <v>10622</v>
      </c>
      <c r="H40" s="352">
        <f>G40/'- 3 -'!E40</f>
        <v>0.001834978383161712</v>
      </c>
    </row>
    <row r="41" spans="1:8" ht="12.75">
      <c r="A41" s="11">
        <v>35</v>
      </c>
      <c r="B41" s="12" t="s">
        <v>146</v>
      </c>
      <c r="C41" s="405">
        <v>89884</v>
      </c>
      <c r="D41" s="351">
        <f>C41/'- 3 -'!E41</f>
        <v>0.006457740410320691</v>
      </c>
      <c r="E41" s="405">
        <v>946383</v>
      </c>
      <c r="F41" s="351">
        <f>E41/'- 3 -'!E41</f>
        <v>0.0679931438603147</v>
      </c>
      <c r="G41" s="405">
        <v>0</v>
      </c>
      <c r="H41" s="351">
        <f>G41/'- 3 -'!E41</f>
        <v>0</v>
      </c>
    </row>
    <row r="42" spans="1:8" ht="12.75">
      <c r="A42" s="13">
        <v>36</v>
      </c>
      <c r="B42" s="14" t="s">
        <v>147</v>
      </c>
      <c r="C42" s="406">
        <v>54964</v>
      </c>
      <c r="D42" s="352">
        <f>C42/'- 3 -'!E42</f>
        <v>0.006858779494689142</v>
      </c>
      <c r="E42" s="406">
        <v>721634</v>
      </c>
      <c r="F42" s="352">
        <f>E42/'- 3 -'!E42</f>
        <v>0.090050369002811</v>
      </c>
      <c r="G42" s="406">
        <v>301</v>
      </c>
      <c r="H42" s="352">
        <f>G42/'- 3 -'!E42</f>
        <v>3.756081485884273E-05</v>
      </c>
    </row>
    <row r="43" spans="1:8" ht="12.75">
      <c r="A43" s="11">
        <v>37</v>
      </c>
      <c r="B43" s="12" t="s">
        <v>148</v>
      </c>
      <c r="C43" s="405">
        <v>26630</v>
      </c>
      <c r="D43" s="351">
        <f>C43/'- 3 -'!E43</f>
        <v>0.0038749147034946555</v>
      </c>
      <c r="E43" s="405">
        <v>698083</v>
      </c>
      <c r="F43" s="351">
        <f>E43/'- 3 -'!E43</f>
        <v>0.10157762226660381</v>
      </c>
      <c r="G43" s="405">
        <v>522</v>
      </c>
      <c r="H43" s="351">
        <f>G43/'- 3 -'!E43</f>
        <v>7.59558946760875E-05</v>
      </c>
    </row>
    <row r="44" spans="1:8" ht="12.75">
      <c r="A44" s="13">
        <v>38</v>
      </c>
      <c r="B44" s="14" t="s">
        <v>149</v>
      </c>
      <c r="C44" s="406">
        <v>37687</v>
      </c>
      <c r="D44" s="352">
        <f>C44/'- 3 -'!E44</f>
        <v>0.00421852654805048</v>
      </c>
      <c r="E44" s="406">
        <v>965105</v>
      </c>
      <c r="F44" s="352">
        <f>E44/'- 3 -'!E44</f>
        <v>0.10802985284464826</v>
      </c>
      <c r="G44" s="406">
        <v>1500</v>
      </c>
      <c r="H44" s="352">
        <f>G44/'- 3 -'!E44</f>
        <v>0.00016790378173045666</v>
      </c>
    </row>
    <row r="45" spans="1:8" ht="12.75">
      <c r="A45" s="11">
        <v>39</v>
      </c>
      <c r="B45" s="12" t="s">
        <v>150</v>
      </c>
      <c r="C45" s="405">
        <v>63178</v>
      </c>
      <c r="D45" s="351">
        <f>C45/'- 3 -'!E45</f>
        <v>0.0042338513632555076</v>
      </c>
      <c r="E45" s="405">
        <v>934542</v>
      </c>
      <c r="F45" s="351">
        <f>E45/'- 3 -'!E45</f>
        <v>0.06262800216403698</v>
      </c>
      <c r="G45" s="405">
        <v>2916</v>
      </c>
      <c r="H45" s="351">
        <f>G45/'- 3 -'!E45</f>
        <v>0.0001954147104253547</v>
      </c>
    </row>
    <row r="46" spans="1:8" ht="12.75">
      <c r="A46" s="13">
        <v>40</v>
      </c>
      <c r="B46" s="14" t="s">
        <v>151</v>
      </c>
      <c r="C46" s="406">
        <v>98728</v>
      </c>
      <c r="D46" s="352">
        <f>C46/'- 3 -'!E46</f>
        <v>0.0022037911735092014</v>
      </c>
      <c r="E46" s="406">
        <v>1164528</v>
      </c>
      <c r="F46" s="352">
        <f>E46/'- 3 -'!E46</f>
        <v>0.02599441422599793</v>
      </c>
      <c r="G46" s="406">
        <v>0</v>
      </c>
      <c r="H46" s="352">
        <f>G46/'- 3 -'!E46</f>
        <v>0</v>
      </c>
    </row>
    <row r="47" spans="1:8" ht="12.75">
      <c r="A47" s="11">
        <v>41</v>
      </c>
      <c r="B47" s="12" t="s">
        <v>152</v>
      </c>
      <c r="C47" s="405">
        <v>43248</v>
      </c>
      <c r="D47" s="351">
        <f>C47/'- 3 -'!E47</f>
        <v>0.003523695278249957</v>
      </c>
      <c r="E47" s="405">
        <v>995030</v>
      </c>
      <c r="F47" s="351">
        <f>E47/'- 3 -'!E47</f>
        <v>0.08107155273578094</v>
      </c>
      <c r="G47" s="405">
        <v>638</v>
      </c>
      <c r="H47" s="351">
        <f>G47/'- 3 -'!E47</f>
        <v>5.198200119134925E-05</v>
      </c>
    </row>
    <row r="48" spans="1:8" ht="12.75">
      <c r="A48" s="13">
        <v>42</v>
      </c>
      <c r="B48" s="14" t="s">
        <v>153</v>
      </c>
      <c r="C48" s="406">
        <v>15484</v>
      </c>
      <c r="D48" s="352">
        <f>C48/'- 3 -'!E48</f>
        <v>0.0020033105599721367</v>
      </c>
      <c r="E48" s="406">
        <v>636786</v>
      </c>
      <c r="F48" s="352">
        <f>E48/'- 3 -'!E48</f>
        <v>0.0823869877449249</v>
      </c>
      <c r="G48" s="406">
        <v>3471</v>
      </c>
      <c r="H48" s="352">
        <f>G48/'- 3 -'!E48</f>
        <v>0.000449075881791739</v>
      </c>
    </row>
    <row r="49" spans="1:8" ht="12.75">
      <c r="A49" s="11">
        <v>43</v>
      </c>
      <c r="B49" s="12" t="s">
        <v>154</v>
      </c>
      <c r="C49" s="405">
        <v>37332</v>
      </c>
      <c r="D49" s="351">
        <f>C49/'- 3 -'!E49</f>
        <v>0.005871242205254425</v>
      </c>
      <c r="E49" s="405">
        <v>509312</v>
      </c>
      <c r="F49" s="351">
        <f>E49/'- 3 -'!E49</f>
        <v>0.08010002437701012</v>
      </c>
      <c r="G49" s="405">
        <v>1125</v>
      </c>
      <c r="H49" s="351">
        <f>G49/'- 3 -'!E49</f>
        <v>0.00017692991216412804</v>
      </c>
    </row>
    <row r="50" spans="1:8" ht="12.75">
      <c r="A50" s="13">
        <v>44</v>
      </c>
      <c r="B50" s="14" t="s">
        <v>155</v>
      </c>
      <c r="C50" s="406">
        <v>12648</v>
      </c>
      <c r="D50" s="352">
        <f>C50/'- 3 -'!E50</f>
        <v>0.001367195564959409</v>
      </c>
      <c r="E50" s="406">
        <v>676224</v>
      </c>
      <c r="F50" s="352">
        <f>E50/'- 3 -'!E50</f>
        <v>0.07309696819411064</v>
      </c>
      <c r="G50" s="406">
        <v>0</v>
      </c>
      <c r="H50" s="352">
        <f>G50/'- 3 -'!E50</f>
        <v>0</v>
      </c>
    </row>
    <row r="51" spans="1:8" ht="12.75">
      <c r="A51" s="11">
        <v>45</v>
      </c>
      <c r="B51" s="12" t="s">
        <v>156</v>
      </c>
      <c r="C51" s="405">
        <v>49017</v>
      </c>
      <c r="D51" s="351">
        <f>C51/'- 3 -'!E51</f>
        <v>0.004064628058794936</v>
      </c>
      <c r="E51" s="405">
        <v>255887</v>
      </c>
      <c r="F51" s="351">
        <f>E51/'- 3 -'!E51</f>
        <v>0.02121887263767386</v>
      </c>
      <c r="G51" s="405">
        <v>5527</v>
      </c>
      <c r="H51" s="351">
        <f>G51/'- 3 -'!E51</f>
        <v>0.00045831444766019155</v>
      </c>
    </row>
    <row r="52" spans="1:8" ht="12.75">
      <c r="A52" s="13">
        <v>46</v>
      </c>
      <c r="B52" s="14" t="s">
        <v>157</v>
      </c>
      <c r="C52" s="406">
        <v>0</v>
      </c>
      <c r="D52" s="352">
        <f>C52/'- 3 -'!E52</f>
        <v>0</v>
      </c>
      <c r="E52" s="406">
        <v>146007</v>
      </c>
      <c r="F52" s="352">
        <f>E52/'- 3 -'!E52</f>
        <v>0.013347174042706765</v>
      </c>
      <c r="G52" s="406">
        <v>510</v>
      </c>
      <c r="H52" s="352">
        <f>G52/'- 3 -'!E52</f>
        <v>4.662145487394749E-05</v>
      </c>
    </row>
    <row r="53" spans="1:8" ht="12.75">
      <c r="A53" s="11">
        <v>47</v>
      </c>
      <c r="B53" s="12" t="s">
        <v>158</v>
      </c>
      <c r="C53" s="405">
        <v>6038</v>
      </c>
      <c r="D53" s="351">
        <f>C53/'- 3 -'!E53</f>
        <v>0.0006556461361181318</v>
      </c>
      <c r="E53" s="405">
        <v>319369</v>
      </c>
      <c r="F53" s="351">
        <f>E53/'- 3 -'!E53</f>
        <v>0.034679206831055256</v>
      </c>
      <c r="G53" s="405">
        <v>3344</v>
      </c>
      <c r="H53" s="351">
        <f>G53/'- 3 -'!E53</f>
        <v>0.0003631137262635033</v>
      </c>
    </row>
    <row r="54" spans="1:8" ht="12.75">
      <c r="A54" s="13">
        <v>48</v>
      </c>
      <c r="B54" s="14" t="s">
        <v>159</v>
      </c>
      <c r="C54" s="406">
        <v>102079</v>
      </c>
      <c r="D54" s="352">
        <f>C54/'- 3 -'!E54</f>
        <v>0.0017186666349913483</v>
      </c>
      <c r="E54" s="406">
        <v>2617358</v>
      </c>
      <c r="F54" s="352">
        <f>E54/'- 3 -'!E54</f>
        <v>0.04406749543419984</v>
      </c>
      <c r="G54" s="406">
        <v>41707</v>
      </c>
      <c r="H54" s="352">
        <f>G54/'- 3 -'!E54</f>
        <v>0.0007022054423102123</v>
      </c>
    </row>
    <row r="55" spans="1:8" ht="12.75">
      <c r="A55" s="11">
        <v>49</v>
      </c>
      <c r="B55" s="12" t="s">
        <v>160</v>
      </c>
      <c r="C55" s="405">
        <v>107372</v>
      </c>
      <c r="D55" s="351">
        <f>C55/'- 3 -'!E55</f>
        <v>0.0029641561327253554</v>
      </c>
      <c r="E55" s="405">
        <v>2501559</v>
      </c>
      <c r="F55" s="351">
        <f>E55/'- 3 -'!E55</f>
        <v>0.06905907919405718</v>
      </c>
      <c r="G55" s="405">
        <v>183966</v>
      </c>
      <c r="H55" s="351">
        <f>G55/'- 3 -'!E55</f>
        <v>0.005078641984064307</v>
      </c>
    </row>
    <row r="56" spans="1:8" ht="12.75">
      <c r="A56" s="13">
        <v>50</v>
      </c>
      <c r="B56" s="14" t="s">
        <v>343</v>
      </c>
      <c r="C56" s="406">
        <v>61896</v>
      </c>
      <c r="D56" s="352">
        <f>C56/'- 3 -'!E56</f>
        <v>0.004294087554264055</v>
      </c>
      <c r="E56" s="406">
        <v>1204089</v>
      </c>
      <c r="F56" s="352">
        <f>E56/'- 3 -'!E56</f>
        <v>0.08353469673526967</v>
      </c>
      <c r="G56" s="406">
        <v>375</v>
      </c>
      <c r="H56" s="352">
        <f>G56/'- 3 -'!E56</f>
        <v>2.601594340262732E-05</v>
      </c>
    </row>
    <row r="57" spans="1:8" ht="12.75">
      <c r="A57" s="11">
        <v>2264</v>
      </c>
      <c r="B57" s="12" t="s">
        <v>161</v>
      </c>
      <c r="C57" s="405">
        <v>10666</v>
      </c>
      <c r="D57" s="351">
        <f>C57/'- 3 -'!E57</f>
        <v>0.0050664045512444035</v>
      </c>
      <c r="E57" s="405">
        <v>41886</v>
      </c>
      <c r="F57" s="351">
        <f>E57/'- 3 -'!E57</f>
        <v>0.019896064225897535</v>
      </c>
      <c r="G57" s="405">
        <v>0</v>
      </c>
      <c r="H57" s="351">
        <f>G57/'- 3 -'!E57</f>
        <v>0</v>
      </c>
    </row>
    <row r="58" spans="1:8" ht="12.75">
      <c r="A58" s="13">
        <v>2309</v>
      </c>
      <c r="B58" s="14" t="s">
        <v>162</v>
      </c>
      <c r="C58" s="406">
        <v>0</v>
      </c>
      <c r="D58" s="352">
        <f>C58/'- 3 -'!E58</f>
        <v>0</v>
      </c>
      <c r="E58" s="406">
        <v>22931</v>
      </c>
      <c r="F58" s="352">
        <f>E58/'- 3 -'!E58</f>
        <v>0.010123284127400368</v>
      </c>
      <c r="G58" s="406">
        <v>2833</v>
      </c>
      <c r="H58" s="352">
        <f>G58/'- 3 -'!E58</f>
        <v>0.0012506765484682414</v>
      </c>
    </row>
    <row r="59" spans="1:8" ht="12.75">
      <c r="A59" s="11">
        <v>2312</v>
      </c>
      <c r="B59" s="12" t="s">
        <v>163</v>
      </c>
      <c r="C59" s="405">
        <v>0</v>
      </c>
      <c r="D59" s="351">
        <f>C59/'- 3 -'!E59</f>
        <v>0</v>
      </c>
      <c r="E59" s="405">
        <v>0</v>
      </c>
      <c r="F59" s="351">
        <f>E59/'- 3 -'!E59</f>
        <v>0</v>
      </c>
      <c r="G59" s="405">
        <v>0</v>
      </c>
      <c r="H59" s="351">
        <f>G59/'- 3 -'!E59</f>
        <v>0</v>
      </c>
    </row>
    <row r="60" spans="1:8" ht="12.75">
      <c r="A60" s="13">
        <v>2355</v>
      </c>
      <c r="B60" s="14" t="s">
        <v>164</v>
      </c>
      <c r="C60" s="406">
        <v>0</v>
      </c>
      <c r="D60" s="352">
        <f>C60/'- 3 -'!E60</f>
        <v>0</v>
      </c>
      <c r="E60" s="406">
        <v>39205</v>
      </c>
      <c r="F60" s="352">
        <f>E60/'- 3 -'!E60</f>
        <v>0.0015760737600075474</v>
      </c>
      <c r="G60" s="406">
        <v>11243</v>
      </c>
      <c r="H60" s="352">
        <f>G60/'- 3 -'!E60</f>
        <v>0.00045197799473957034</v>
      </c>
    </row>
    <row r="61" spans="1:8" ht="12.75">
      <c r="A61" s="11">
        <v>2439</v>
      </c>
      <c r="B61" s="12" t="s">
        <v>165</v>
      </c>
      <c r="C61" s="405">
        <v>8331.72</v>
      </c>
      <c r="D61" s="351">
        <f>C61/'- 3 -'!E61</f>
        <v>0.005963230637950059</v>
      </c>
      <c r="E61" s="405">
        <v>110697.51</v>
      </c>
      <c r="F61" s="351">
        <f>E61/'- 3 -'!E61</f>
        <v>0.07922911273743995</v>
      </c>
      <c r="G61" s="405">
        <v>0</v>
      </c>
      <c r="H61" s="351">
        <f>G61/'- 3 -'!E61</f>
        <v>0</v>
      </c>
    </row>
    <row r="62" spans="1:8" ht="12.75">
      <c r="A62" s="13">
        <v>2460</v>
      </c>
      <c r="B62" s="14" t="s">
        <v>166</v>
      </c>
      <c r="C62" s="406">
        <v>0</v>
      </c>
      <c r="D62" s="352">
        <f>C62/'- 3 -'!E62</f>
        <v>0</v>
      </c>
      <c r="E62" s="406">
        <v>0</v>
      </c>
      <c r="F62" s="352">
        <f>E62/'- 3 -'!E62</f>
        <v>0</v>
      </c>
      <c r="G62" s="406">
        <v>0</v>
      </c>
      <c r="H62" s="352">
        <f>G62/'- 3 -'!E62</f>
        <v>0</v>
      </c>
    </row>
    <row r="63" spans="1:8" ht="12.75">
      <c r="A63" s="11">
        <v>3000</v>
      </c>
      <c r="B63" s="12" t="s">
        <v>366</v>
      </c>
      <c r="C63" s="405">
        <v>0</v>
      </c>
      <c r="D63" s="351">
        <f>C63/'- 3 -'!E63</f>
        <v>0</v>
      </c>
      <c r="E63" s="405">
        <v>0</v>
      </c>
      <c r="F63" s="351">
        <f>E63/'- 3 -'!E63</f>
        <v>0</v>
      </c>
      <c r="G63" s="405">
        <v>0</v>
      </c>
      <c r="H63" s="351">
        <f>G63/'- 3 -'!E63</f>
        <v>0</v>
      </c>
    </row>
    <row r="64" spans="1:8" ht="4.5" customHeight="1">
      <c r="A64" s="15"/>
      <c r="B64" s="15"/>
      <c r="C64" s="412"/>
      <c r="D64" s="194"/>
      <c r="E64" s="412"/>
      <c r="F64" s="194"/>
      <c r="G64" s="412"/>
      <c r="H64" s="194"/>
    </row>
    <row r="65" spans="1:8" ht="12.75">
      <c r="A65" s="17"/>
      <c r="B65" s="18" t="s">
        <v>167</v>
      </c>
      <c r="C65" s="407">
        <f>SUM(C11:C63)</f>
        <v>3182455.5100000002</v>
      </c>
      <c r="D65" s="100">
        <f>C65/'- 3 -'!E65</f>
        <v>0.0024526427531912907</v>
      </c>
      <c r="E65" s="407">
        <f>SUM(E11:E63)</f>
        <v>42983230.699999996</v>
      </c>
      <c r="F65" s="100">
        <f>E65/'- 3 -'!E65</f>
        <v>0.03312615335983264</v>
      </c>
      <c r="G65" s="407">
        <f>SUM(G11:G63)</f>
        <v>397205</v>
      </c>
      <c r="H65" s="100">
        <f>G65/'- 3 -'!E65</f>
        <v>0.0003061164442739835</v>
      </c>
    </row>
    <row r="66" spans="1:8" ht="4.5" customHeight="1">
      <c r="A66" s="15"/>
      <c r="B66" s="15"/>
      <c r="C66" s="412"/>
      <c r="D66" s="194"/>
      <c r="E66" s="412"/>
      <c r="F66" s="194"/>
      <c r="G66" s="412"/>
      <c r="H66" s="194"/>
    </row>
    <row r="67" spans="1:8" ht="12.75">
      <c r="A67" s="13">
        <v>2155</v>
      </c>
      <c r="B67" s="14" t="s">
        <v>168</v>
      </c>
      <c r="C67" s="406">
        <v>0</v>
      </c>
      <c r="D67" s="352">
        <f>C67/'- 3 -'!E67</f>
        <v>0</v>
      </c>
      <c r="E67" s="406">
        <v>56514.87</v>
      </c>
      <c r="F67" s="352">
        <f>E67/'- 3 -'!E67</f>
        <v>0.047229641894529495</v>
      </c>
      <c r="G67" s="406">
        <v>0</v>
      </c>
      <c r="H67" s="352">
        <f>G67/'- 3 -'!E67</f>
        <v>0</v>
      </c>
    </row>
    <row r="68" spans="1:8" ht="12.75">
      <c r="A68" s="11">
        <v>2408</v>
      </c>
      <c r="B68" s="12" t="s">
        <v>170</v>
      </c>
      <c r="C68" s="405">
        <v>0</v>
      </c>
      <c r="D68" s="351">
        <f>C68/'- 3 -'!E68</f>
        <v>0</v>
      </c>
      <c r="E68" s="405">
        <v>0</v>
      </c>
      <c r="F68" s="351">
        <f>E68/'- 3 -'!E68</f>
        <v>0</v>
      </c>
      <c r="G68" s="405">
        <v>7023</v>
      </c>
      <c r="H68" s="351">
        <f>G68/'- 3 -'!E68</f>
        <v>0.0032757691037555436</v>
      </c>
    </row>
    <row r="69" ht="6.75" customHeight="1"/>
    <row r="70" spans="1:6" ht="12" customHeight="1">
      <c r="A70" s="4"/>
      <c r="B70" s="4"/>
      <c r="E70" s="148"/>
      <c r="F70" s="148"/>
    </row>
    <row r="71" spans="1:6" ht="12" customHeight="1">
      <c r="A71" s="4"/>
      <c r="B71" s="4"/>
      <c r="E71" s="148"/>
      <c r="F71" s="148"/>
    </row>
    <row r="72" spans="1:6" ht="12" customHeight="1">
      <c r="A72" s="4"/>
      <c r="B72" s="4"/>
      <c r="E72" s="148"/>
      <c r="F72" s="148"/>
    </row>
    <row r="73" spans="1:6" ht="12" customHeight="1">
      <c r="A73" s="4"/>
      <c r="B73" s="4"/>
      <c r="E73" s="148"/>
      <c r="F73" s="148"/>
    </row>
    <row r="74" spans="1:2" ht="12" customHeight="1">
      <c r="A74" s="4"/>
      <c r="B74" s="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15.83203125" style="79" customWidth="1"/>
    <col min="5" max="5" width="16.83203125" style="79" customWidth="1"/>
    <col min="6" max="6" width="15.83203125" style="79" customWidth="1"/>
    <col min="7" max="7" width="16.83203125" style="79" customWidth="1"/>
    <col min="8" max="16384" width="15.83203125" style="79" customWidth="1"/>
  </cols>
  <sheetData>
    <row r="1" spans="1:8" ht="6.75" customHeight="1">
      <c r="A1" s="15"/>
      <c r="B1" s="77"/>
      <c r="C1" s="139"/>
      <c r="D1" s="139"/>
      <c r="E1" s="139"/>
      <c r="F1" s="139"/>
      <c r="G1" s="139"/>
      <c r="H1" s="139"/>
    </row>
    <row r="2" spans="1:8" ht="12.75">
      <c r="A2" s="6"/>
      <c r="B2" s="80"/>
      <c r="C2" s="196" t="s">
        <v>0</v>
      </c>
      <c r="D2" s="196"/>
      <c r="E2" s="196"/>
      <c r="F2" s="196"/>
      <c r="G2" s="211"/>
      <c r="H2" s="216" t="s">
        <v>433</v>
      </c>
    </row>
    <row r="3" spans="1:8" ht="12.75">
      <c r="A3" s="7"/>
      <c r="B3" s="83"/>
      <c r="C3" s="199" t="str">
        <f>YEAR</f>
        <v>OPERATING FUND ACTUAL 2001/2002</v>
      </c>
      <c r="D3" s="199"/>
      <c r="E3" s="199"/>
      <c r="F3" s="199"/>
      <c r="G3" s="212"/>
      <c r="H3" s="217"/>
    </row>
    <row r="4" spans="1:8" ht="12.75">
      <c r="A4" s="8"/>
      <c r="C4" s="139"/>
      <c r="D4" s="139"/>
      <c r="E4" s="139"/>
      <c r="F4" s="139"/>
      <c r="G4" s="139"/>
      <c r="H4" s="139"/>
    </row>
    <row r="5" spans="1:8" ht="12.75">
      <c r="A5" s="8"/>
      <c r="C5" s="54"/>
      <c r="D5" s="139"/>
      <c r="E5" s="139"/>
      <c r="F5" s="139"/>
      <c r="G5" s="139"/>
      <c r="H5" s="139"/>
    </row>
    <row r="6" spans="1:8" ht="16.5">
      <c r="A6" s="8"/>
      <c r="C6" s="331" t="s">
        <v>334</v>
      </c>
      <c r="D6" s="152"/>
      <c r="E6" s="124"/>
      <c r="F6" s="125"/>
      <c r="G6" s="139"/>
      <c r="H6" s="150"/>
    </row>
    <row r="7" spans="3:8" ht="12.75">
      <c r="C7" s="64" t="s">
        <v>60</v>
      </c>
      <c r="D7" s="63"/>
      <c r="E7" s="64" t="s">
        <v>3</v>
      </c>
      <c r="F7" s="63"/>
      <c r="G7" s="178"/>
      <c r="H7" s="139"/>
    </row>
    <row r="8" spans="1:8" ht="12.75">
      <c r="A8" s="91"/>
      <c r="B8" s="43"/>
      <c r="C8" s="65" t="s">
        <v>82</v>
      </c>
      <c r="D8" s="67"/>
      <c r="E8" s="65" t="s">
        <v>58</v>
      </c>
      <c r="F8" s="67"/>
      <c r="G8" s="139"/>
      <c r="H8" s="139"/>
    </row>
    <row r="9" spans="1:6" ht="12.75">
      <c r="A9" s="49" t="s">
        <v>101</v>
      </c>
      <c r="B9" s="50" t="s">
        <v>102</v>
      </c>
      <c r="C9" s="221" t="s">
        <v>103</v>
      </c>
      <c r="D9" s="130" t="s">
        <v>104</v>
      </c>
      <c r="E9" s="130" t="s">
        <v>103</v>
      </c>
      <c r="F9" s="130" t="s">
        <v>104</v>
      </c>
    </row>
    <row r="10" spans="1:2" ht="4.5" customHeight="1">
      <c r="A10" s="74"/>
      <c r="B10" s="74"/>
    </row>
    <row r="11" spans="1:6" ht="12.75">
      <c r="A11" s="11">
        <v>1</v>
      </c>
      <c r="B11" s="12" t="s">
        <v>116</v>
      </c>
      <c r="C11" s="405">
        <v>0</v>
      </c>
      <c r="D11" s="351">
        <f>C11/'- 3 -'!E11</f>
        <v>0</v>
      </c>
      <c r="E11" s="405">
        <v>276130</v>
      </c>
      <c r="F11" s="351">
        <f>E11/'- 3 -'!E11</f>
        <v>0.0011456079718520195</v>
      </c>
    </row>
    <row r="12" spans="1:6" ht="12.75">
      <c r="A12" s="13">
        <v>2</v>
      </c>
      <c r="B12" s="14" t="s">
        <v>117</v>
      </c>
      <c r="C12" s="406">
        <v>0</v>
      </c>
      <c r="D12" s="352">
        <f>C12/'- 3 -'!E12</f>
        <v>0</v>
      </c>
      <c r="E12" s="406">
        <v>0</v>
      </c>
      <c r="F12" s="352">
        <f>E12/'- 3 -'!E12</f>
        <v>0</v>
      </c>
    </row>
    <row r="13" spans="1:6" ht="12.75">
      <c r="A13" s="11">
        <v>3</v>
      </c>
      <c r="B13" s="12" t="s">
        <v>118</v>
      </c>
      <c r="C13" s="405">
        <v>0</v>
      </c>
      <c r="D13" s="351">
        <f>C13/'- 3 -'!E13</f>
        <v>0</v>
      </c>
      <c r="E13" s="405">
        <v>372</v>
      </c>
      <c r="F13" s="351">
        <f>E13/'- 3 -'!E13</f>
        <v>8.861278120265649E-06</v>
      </c>
    </row>
    <row r="14" spans="1:6" ht="12.75">
      <c r="A14" s="13">
        <v>4</v>
      </c>
      <c r="B14" s="14" t="s">
        <v>119</v>
      </c>
      <c r="C14" s="406">
        <v>0</v>
      </c>
      <c r="D14" s="352">
        <f>C14/'- 3 -'!E14</f>
        <v>0</v>
      </c>
      <c r="E14" s="406">
        <v>32342</v>
      </c>
      <c r="F14" s="352">
        <f>E14/'- 3 -'!E14</f>
        <v>0.0007780945324600444</v>
      </c>
    </row>
    <row r="15" spans="1:6" ht="12.75">
      <c r="A15" s="11">
        <v>5</v>
      </c>
      <c r="B15" s="12" t="s">
        <v>120</v>
      </c>
      <c r="C15" s="405">
        <v>0</v>
      </c>
      <c r="D15" s="351">
        <f>C15/'- 3 -'!E15</f>
        <v>0</v>
      </c>
      <c r="E15" s="405">
        <v>118702</v>
      </c>
      <c r="F15" s="351">
        <f>E15/'- 3 -'!E15</f>
        <v>0.0023618680656861254</v>
      </c>
    </row>
    <row r="16" spans="1:6" ht="12.75">
      <c r="A16" s="13">
        <v>6</v>
      </c>
      <c r="B16" s="14" t="s">
        <v>121</v>
      </c>
      <c r="C16" s="406">
        <v>0</v>
      </c>
      <c r="D16" s="352">
        <f>C16/'- 3 -'!E16</f>
        <v>0</v>
      </c>
      <c r="E16" s="406">
        <v>124028</v>
      </c>
      <c r="F16" s="352">
        <f>E16/'- 3 -'!E16</f>
        <v>0.002141508013725418</v>
      </c>
    </row>
    <row r="17" spans="1:6" ht="12.75">
      <c r="A17" s="11">
        <v>9</v>
      </c>
      <c r="B17" s="12" t="s">
        <v>122</v>
      </c>
      <c r="C17" s="405">
        <v>0</v>
      </c>
      <c r="D17" s="351">
        <f>C17/'- 3 -'!E17</f>
        <v>0</v>
      </c>
      <c r="E17" s="405">
        <v>83993</v>
      </c>
      <c r="F17" s="351">
        <f>E17/'- 3 -'!E17</f>
        <v>0.001030314855377984</v>
      </c>
    </row>
    <row r="18" spans="1:6" ht="12.75">
      <c r="A18" s="13">
        <v>10</v>
      </c>
      <c r="B18" s="14" t="s">
        <v>123</v>
      </c>
      <c r="C18" s="406">
        <v>0</v>
      </c>
      <c r="D18" s="352">
        <f>C18/'- 3 -'!E18</f>
        <v>0</v>
      </c>
      <c r="E18" s="406">
        <v>150355</v>
      </c>
      <c r="F18" s="352">
        <f>E18/'- 3 -'!E18</f>
        <v>0.0025092200732941055</v>
      </c>
    </row>
    <row r="19" spans="1:6" ht="12.75">
      <c r="A19" s="11">
        <v>11</v>
      </c>
      <c r="B19" s="12" t="s">
        <v>124</v>
      </c>
      <c r="C19" s="405">
        <v>0</v>
      </c>
      <c r="D19" s="351">
        <f>C19/'- 3 -'!E19</f>
        <v>0</v>
      </c>
      <c r="E19" s="405">
        <v>74063</v>
      </c>
      <c r="F19" s="351">
        <f>E19/'- 3 -'!E19</f>
        <v>0.0022909821026361097</v>
      </c>
    </row>
    <row r="20" spans="1:6" ht="12.75">
      <c r="A20" s="13">
        <v>12</v>
      </c>
      <c r="B20" s="14" t="s">
        <v>125</v>
      </c>
      <c r="C20" s="406">
        <v>0</v>
      </c>
      <c r="D20" s="352">
        <f>C20/'- 3 -'!E20</f>
        <v>0</v>
      </c>
      <c r="E20" s="406">
        <v>68926</v>
      </c>
      <c r="F20" s="352">
        <f>E20/'- 3 -'!E20</f>
        <v>0.0013306594272121802</v>
      </c>
    </row>
    <row r="21" spans="1:6" ht="12.75">
      <c r="A21" s="11">
        <v>13</v>
      </c>
      <c r="B21" s="12" t="s">
        <v>126</v>
      </c>
      <c r="C21" s="405">
        <v>0</v>
      </c>
      <c r="D21" s="351">
        <f>C21/'- 3 -'!E21</f>
        <v>0</v>
      </c>
      <c r="E21" s="405">
        <v>29530</v>
      </c>
      <c r="F21" s="351">
        <f>E21/'- 3 -'!E21</f>
        <v>0.0014938017345198155</v>
      </c>
    </row>
    <row r="22" spans="1:6" ht="12.75">
      <c r="A22" s="13">
        <v>14</v>
      </c>
      <c r="B22" s="14" t="s">
        <v>127</v>
      </c>
      <c r="C22" s="406">
        <v>0</v>
      </c>
      <c r="D22" s="352">
        <f>C22/'- 3 -'!E22</f>
        <v>0</v>
      </c>
      <c r="E22" s="406">
        <v>35056</v>
      </c>
      <c r="F22" s="352">
        <f>E22/'- 3 -'!E22</f>
        <v>0.001524486471876605</v>
      </c>
    </row>
    <row r="23" spans="1:6" ht="12.75">
      <c r="A23" s="11">
        <v>15</v>
      </c>
      <c r="B23" s="12" t="s">
        <v>128</v>
      </c>
      <c r="C23" s="405">
        <v>0</v>
      </c>
      <c r="D23" s="351">
        <f>C23/'- 3 -'!E23</f>
        <v>0</v>
      </c>
      <c r="E23" s="405">
        <v>0</v>
      </c>
      <c r="F23" s="351">
        <f>E23/'- 3 -'!E23</f>
        <v>0</v>
      </c>
    </row>
    <row r="24" spans="1:6" ht="12.75">
      <c r="A24" s="13">
        <v>16</v>
      </c>
      <c r="B24" s="14" t="s">
        <v>129</v>
      </c>
      <c r="C24" s="406">
        <v>9600</v>
      </c>
      <c r="D24" s="352">
        <f>C24/'- 3 -'!E24</f>
        <v>0.0015534193235072443</v>
      </c>
      <c r="E24" s="406">
        <v>12078</v>
      </c>
      <c r="F24" s="352">
        <f>E24/'- 3 -'!E24</f>
        <v>0.0019543956863875517</v>
      </c>
    </row>
    <row r="25" spans="1:6" ht="12.75">
      <c r="A25" s="11">
        <v>17</v>
      </c>
      <c r="B25" s="12" t="s">
        <v>130</v>
      </c>
      <c r="C25" s="405">
        <v>0</v>
      </c>
      <c r="D25" s="351">
        <f>C25/'- 3 -'!E25</f>
        <v>0</v>
      </c>
      <c r="E25" s="405">
        <v>6926</v>
      </c>
      <c r="F25" s="351">
        <f>E25/'- 3 -'!E25</f>
        <v>0.001663741586676673</v>
      </c>
    </row>
    <row r="26" spans="1:6" ht="12.75">
      <c r="A26" s="13">
        <v>18</v>
      </c>
      <c r="B26" s="14" t="s">
        <v>131</v>
      </c>
      <c r="C26" s="406">
        <v>0</v>
      </c>
      <c r="D26" s="352">
        <f>C26/'- 3 -'!E26</f>
        <v>0</v>
      </c>
      <c r="E26" s="406">
        <v>0</v>
      </c>
      <c r="F26" s="352">
        <f>E26/'- 3 -'!E26</f>
        <v>0</v>
      </c>
    </row>
    <row r="27" spans="1:6" ht="12.75">
      <c r="A27" s="11">
        <v>19</v>
      </c>
      <c r="B27" s="12" t="s">
        <v>132</v>
      </c>
      <c r="C27" s="405">
        <v>0</v>
      </c>
      <c r="D27" s="351">
        <f>C27/'- 3 -'!E27</f>
        <v>0</v>
      </c>
      <c r="E27" s="405">
        <v>28260</v>
      </c>
      <c r="F27" s="351">
        <f>E27/'- 3 -'!E27</f>
        <v>0.001922522210686167</v>
      </c>
    </row>
    <row r="28" spans="1:6" ht="12.75">
      <c r="A28" s="13">
        <v>20</v>
      </c>
      <c r="B28" s="14" t="s">
        <v>133</v>
      </c>
      <c r="C28" s="406">
        <v>0</v>
      </c>
      <c r="D28" s="352">
        <f>C28/'- 3 -'!E28</f>
        <v>0</v>
      </c>
      <c r="E28" s="406">
        <v>25586</v>
      </c>
      <c r="F28" s="352">
        <f>E28/'- 3 -'!E28</f>
        <v>0.003384794038338686</v>
      </c>
    </row>
    <row r="29" spans="1:6" ht="12.75">
      <c r="A29" s="11">
        <v>21</v>
      </c>
      <c r="B29" s="12" t="s">
        <v>134</v>
      </c>
      <c r="C29" s="405">
        <v>0</v>
      </c>
      <c r="D29" s="351">
        <f>C29/'- 3 -'!E29</f>
        <v>0</v>
      </c>
      <c r="E29" s="405">
        <v>43267</v>
      </c>
      <c r="F29" s="351">
        <f>E29/'- 3 -'!E29</f>
        <v>0.0019397461504554751</v>
      </c>
    </row>
    <row r="30" spans="1:6" ht="12.75">
      <c r="A30" s="13">
        <v>22</v>
      </c>
      <c r="B30" s="14" t="s">
        <v>135</v>
      </c>
      <c r="C30" s="406">
        <v>0</v>
      </c>
      <c r="D30" s="352">
        <f>C30/'- 3 -'!E30</f>
        <v>0</v>
      </c>
      <c r="E30" s="406">
        <v>33646</v>
      </c>
      <c r="F30" s="352">
        <f>E30/'- 3 -'!E30</f>
        <v>0.002858211522094053</v>
      </c>
    </row>
    <row r="31" spans="1:6" ht="12.75">
      <c r="A31" s="11">
        <v>23</v>
      </c>
      <c r="B31" s="12" t="s">
        <v>136</v>
      </c>
      <c r="C31" s="405">
        <v>0</v>
      </c>
      <c r="D31" s="351">
        <f>C31/'- 3 -'!E31</f>
        <v>0</v>
      </c>
      <c r="E31" s="405">
        <v>0</v>
      </c>
      <c r="F31" s="351">
        <f>E31/'- 3 -'!E31</f>
        <v>0</v>
      </c>
    </row>
    <row r="32" spans="1:6" ht="12.75">
      <c r="A32" s="13">
        <v>24</v>
      </c>
      <c r="B32" s="14" t="s">
        <v>137</v>
      </c>
      <c r="C32" s="406">
        <v>0</v>
      </c>
      <c r="D32" s="352">
        <f>C32/'- 3 -'!E32</f>
        <v>0</v>
      </c>
      <c r="E32" s="406">
        <v>1526</v>
      </c>
      <c r="F32" s="352">
        <f>E32/'- 3 -'!E32</f>
        <v>6.713250288755547E-05</v>
      </c>
    </row>
    <row r="33" spans="1:6" ht="12.75">
      <c r="A33" s="11">
        <v>25</v>
      </c>
      <c r="B33" s="12" t="s">
        <v>138</v>
      </c>
      <c r="C33" s="405">
        <v>0</v>
      </c>
      <c r="D33" s="351">
        <f>C33/'- 3 -'!E33</f>
        <v>0</v>
      </c>
      <c r="E33" s="405">
        <v>16736</v>
      </c>
      <c r="F33" s="351">
        <f>E33/'- 3 -'!E33</f>
        <v>0.001592653997631955</v>
      </c>
    </row>
    <row r="34" spans="1:6" ht="12.75">
      <c r="A34" s="13">
        <v>26</v>
      </c>
      <c r="B34" s="14" t="s">
        <v>139</v>
      </c>
      <c r="C34" s="406">
        <v>0</v>
      </c>
      <c r="D34" s="352">
        <f>C34/'- 3 -'!E34</f>
        <v>0</v>
      </c>
      <c r="E34" s="406">
        <v>41354</v>
      </c>
      <c r="F34" s="352">
        <f>E34/'- 3 -'!E34</f>
        <v>0.002549667622704681</v>
      </c>
    </row>
    <row r="35" spans="1:6" ht="12.75">
      <c r="A35" s="11">
        <v>28</v>
      </c>
      <c r="B35" s="12" t="s">
        <v>140</v>
      </c>
      <c r="C35" s="405">
        <v>0</v>
      </c>
      <c r="D35" s="351">
        <f>C35/'- 3 -'!E35</f>
        <v>0</v>
      </c>
      <c r="E35" s="405">
        <v>0</v>
      </c>
      <c r="F35" s="351">
        <f>E35/'- 3 -'!E35</f>
        <v>0</v>
      </c>
    </row>
    <row r="36" spans="1:6" ht="12.75">
      <c r="A36" s="13">
        <v>30</v>
      </c>
      <c r="B36" s="14" t="s">
        <v>141</v>
      </c>
      <c r="C36" s="406">
        <v>0</v>
      </c>
      <c r="D36" s="352">
        <f>C36/'- 3 -'!E36</f>
        <v>0</v>
      </c>
      <c r="E36" s="406">
        <v>22558</v>
      </c>
      <c r="F36" s="352">
        <f>E36/'- 3 -'!E36</f>
        <v>0.002441619976646692</v>
      </c>
    </row>
    <row r="37" spans="1:6" ht="12.75">
      <c r="A37" s="11">
        <v>31</v>
      </c>
      <c r="B37" s="12" t="s">
        <v>142</v>
      </c>
      <c r="C37" s="405">
        <v>0</v>
      </c>
      <c r="D37" s="351">
        <f>C37/'- 3 -'!E37</f>
        <v>0</v>
      </c>
      <c r="E37" s="405">
        <v>57962</v>
      </c>
      <c r="F37" s="351">
        <f>E37/'- 3 -'!E37</f>
        <v>0.005387237557825297</v>
      </c>
    </row>
    <row r="38" spans="1:6" ht="12.75">
      <c r="A38" s="13">
        <v>32</v>
      </c>
      <c r="B38" s="14" t="s">
        <v>143</v>
      </c>
      <c r="C38" s="406">
        <v>0</v>
      </c>
      <c r="D38" s="352">
        <f>C38/'- 3 -'!E38</f>
        <v>0</v>
      </c>
      <c r="E38" s="406">
        <v>23153</v>
      </c>
      <c r="F38" s="352">
        <f>E38/'- 3 -'!E38</f>
        <v>0.003649952006276133</v>
      </c>
    </row>
    <row r="39" spans="1:6" ht="12.75">
      <c r="A39" s="11">
        <v>33</v>
      </c>
      <c r="B39" s="12" t="s">
        <v>144</v>
      </c>
      <c r="C39" s="405">
        <v>0</v>
      </c>
      <c r="D39" s="351">
        <f>C39/'- 3 -'!E39</f>
        <v>0</v>
      </c>
      <c r="E39" s="405">
        <v>23606</v>
      </c>
      <c r="F39" s="351">
        <f>E39/'- 3 -'!E39</f>
        <v>0.0018157029926486566</v>
      </c>
    </row>
    <row r="40" spans="1:6" ht="12.75">
      <c r="A40" s="13">
        <v>34</v>
      </c>
      <c r="B40" s="14" t="s">
        <v>145</v>
      </c>
      <c r="C40" s="406">
        <v>0</v>
      </c>
      <c r="D40" s="352">
        <f>C40/'- 3 -'!E40</f>
        <v>0</v>
      </c>
      <c r="E40" s="406">
        <v>0</v>
      </c>
      <c r="F40" s="352">
        <f>E40/'- 3 -'!E40</f>
        <v>0</v>
      </c>
    </row>
    <row r="41" spans="1:6" ht="12.75">
      <c r="A41" s="11">
        <v>35</v>
      </c>
      <c r="B41" s="12" t="s">
        <v>146</v>
      </c>
      <c r="C41" s="405">
        <v>0</v>
      </c>
      <c r="D41" s="351">
        <f>C41/'- 3 -'!E41</f>
        <v>0</v>
      </c>
      <c r="E41" s="405">
        <v>20848</v>
      </c>
      <c r="F41" s="351">
        <f>E41/'- 3 -'!E41</f>
        <v>0.0014978302264514903</v>
      </c>
    </row>
    <row r="42" spans="1:6" ht="12.75">
      <c r="A42" s="13">
        <v>36</v>
      </c>
      <c r="B42" s="14" t="s">
        <v>147</v>
      </c>
      <c r="C42" s="406">
        <v>0</v>
      </c>
      <c r="D42" s="352">
        <f>C42/'- 3 -'!E42</f>
        <v>0</v>
      </c>
      <c r="E42" s="406">
        <v>40833</v>
      </c>
      <c r="F42" s="352">
        <f>E42/'- 3 -'!E42</f>
        <v>0.005095417784488788</v>
      </c>
    </row>
    <row r="43" spans="1:6" ht="12.75">
      <c r="A43" s="11">
        <v>37</v>
      </c>
      <c r="B43" s="12" t="s">
        <v>148</v>
      </c>
      <c r="C43" s="405">
        <v>0</v>
      </c>
      <c r="D43" s="351">
        <f>C43/'- 3 -'!E43</f>
        <v>0</v>
      </c>
      <c r="E43" s="405">
        <v>6936</v>
      </c>
      <c r="F43" s="351">
        <f>E43/'- 3 -'!E43</f>
        <v>0.0010092530373052547</v>
      </c>
    </row>
    <row r="44" spans="1:6" ht="12.75">
      <c r="A44" s="13">
        <v>38</v>
      </c>
      <c r="B44" s="14" t="s">
        <v>149</v>
      </c>
      <c r="C44" s="406">
        <v>0</v>
      </c>
      <c r="D44" s="352">
        <f>C44/'- 3 -'!E44</f>
        <v>0</v>
      </c>
      <c r="E44" s="406">
        <v>26705</v>
      </c>
      <c r="F44" s="352">
        <f>E44/'- 3 -'!E44</f>
        <v>0.0029892469940745636</v>
      </c>
    </row>
    <row r="45" spans="1:6" ht="12.75">
      <c r="A45" s="11">
        <v>39</v>
      </c>
      <c r="B45" s="12" t="s">
        <v>150</v>
      </c>
      <c r="C45" s="405">
        <v>0</v>
      </c>
      <c r="D45" s="351">
        <f>C45/'- 3 -'!E45</f>
        <v>0</v>
      </c>
      <c r="E45" s="405">
        <v>43705</v>
      </c>
      <c r="F45" s="351">
        <f>E45/'- 3 -'!E45</f>
        <v>0.0029288751437380406</v>
      </c>
    </row>
    <row r="46" spans="1:6" ht="12.75">
      <c r="A46" s="13">
        <v>40</v>
      </c>
      <c r="B46" s="14" t="s">
        <v>151</v>
      </c>
      <c r="C46" s="406">
        <v>0</v>
      </c>
      <c r="D46" s="352">
        <f>C46/'- 3 -'!E46</f>
        <v>0</v>
      </c>
      <c r="E46" s="406">
        <v>25167</v>
      </c>
      <c r="F46" s="352">
        <f>E46/'- 3 -'!E46</f>
        <v>0.000561773888498765</v>
      </c>
    </row>
    <row r="47" spans="1:6" ht="12.75">
      <c r="A47" s="11">
        <v>41</v>
      </c>
      <c r="B47" s="12" t="s">
        <v>152</v>
      </c>
      <c r="C47" s="405">
        <v>0</v>
      </c>
      <c r="D47" s="351">
        <f>C47/'- 3 -'!E47</f>
        <v>0</v>
      </c>
      <c r="E47" s="405">
        <v>26956</v>
      </c>
      <c r="F47" s="351">
        <f>E47/'- 3 -'!E47</f>
        <v>0.0021962802885799534</v>
      </c>
    </row>
    <row r="48" spans="1:6" ht="12.75">
      <c r="A48" s="13">
        <v>42</v>
      </c>
      <c r="B48" s="14" t="s">
        <v>153</v>
      </c>
      <c r="C48" s="406">
        <v>0</v>
      </c>
      <c r="D48" s="352">
        <f>C48/'- 3 -'!E48</f>
        <v>0</v>
      </c>
      <c r="E48" s="406">
        <v>1670</v>
      </c>
      <c r="F48" s="352">
        <f>E48/'- 3 -'!E48</f>
        <v>0.00021606359049040742</v>
      </c>
    </row>
    <row r="49" spans="1:6" ht="12.75">
      <c r="A49" s="11">
        <v>43</v>
      </c>
      <c r="B49" s="12" t="s">
        <v>154</v>
      </c>
      <c r="C49" s="405">
        <v>0</v>
      </c>
      <c r="D49" s="351">
        <f>C49/'- 3 -'!E49</f>
        <v>0</v>
      </c>
      <c r="E49" s="405">
        <v>4397</v>
      </c>
      <c r="F49" s="351">
        <f>E49/'- 3 -'!E49</f>
        <v>0.0006915207322539298</v>
      </c>
    </row>
    <row r="50" spans="1:6" ht="12.75">
      <c r="A50" s="13">
        <v>44</v>
      </c>
      <c r="B50" s="14" t="s">
        <v>155</v>
      </c>
      <c r="C50" s="406">
        <v>0</v>
      </c>
      <c r="D50" s="352">
        <f>C50/'- 3 -'!E50</f>
        <v>0</v>
      </c>
      <c r="E50" s="406">
        <v>10552</v>
      </c>
      <c r="F50" s="352">
        <f>E50/'- 3 -'!E50</f>
        <v>0.0011406267869585455</v>
      </c>
    </row>
    <row r="51" spans="1:6" ht="12.75">
      <c r="A51" s="11">
        <v>45</v>
      </c>
      <c r="B51" s="12" t="s">
        <v>156</v>
      </c>
      <c r="C51" s="405">
        <v>0</v>
      </c>
      <c r="D51" s="351">
        <f>C51/'- 3 -'!E51</f>
        <v>0</v>
      </c>
      <c r="E51" s="405">
        <v>37060</v>
      </c>
      <c r="F51" s="351">
        <f>E51/'- 3 -'!E51</f>
        <v>0.0030731198534985887</v>
      </c>
    </row>
    <row r="52" spans="1:6" ht="12.75">
      <c r="A52" s="13">
        <v>46</v>
      </c>
      <c r="B52" s="14" t="s">
        <v>157</v>
      </c>
      <c r="C52" s="406">
        <v>0</v>
      </c>
      <c r="D52" s="352">
        <f>C52/'- 3 -'!E52</f>
        <v>0</v>
      </c>
      <c r="E52" s="406">
        <v>28516</v>
      </c>
      <c r="F52" s="352">
        <f>E52/'- 3 -'!E52</f>
        <v>0.002606779229775464</v>
      </c>
    </row>
    <row r="53" spans="1:6" ht="12.75">
      <c r="A53" s="11">
        <v>47</v>
      </c>
      <c r="B53" s="12" t="s">
        <v>158</v>
      </c>
      <c r="C53" s="405">
        <v>0</v>
      </c>
      <c r="D53" s="351">
        <f>C53/'- 3 -'!E53</f>
        <v>0</v>
      </c>
      <c r="E53" s="405">
        <v>42522</v>
      </c>
      <c r="F53" s="351">
        <f>E53/'- 3 -'!E53</f>
        <v>0.004617321132827957</v>
      </c>
    </row>
    <row r="54" spans="1:6" ht="12.75">
      <c r="A54" s="13">
        <v>48</v>
      </c>
      <c r="B54" s="14" t="s">
        <v>159</v>
      </c>
      <c r="C54" s="406">
        <v>2220709</v>
      </c>
      <c r="D54" s="352">
        <f>C54/'- 3 -'!E54</f>
        <v>0.03738926188858631</v>
      </c>
      <c r="E54" s="406">
        <v>355445</v>
      </c>
      <c r="F54" s="352">
        <f>E54/'- 3 -'!E54</f>
        <v>0.00598449692957905</v>
      </c>
    </row>
    <row r="55" spans="1:6" ht="12.75">
      <c r="A55" s="11">
        <v>49</v>
      </c>
      <c r="B55" s="12" t="s">
        <v>160</v>
      </c>
      <c r="C55" s="405">
        <v>9600</v>
      </c>
      <c r="D55" s="351">
        <f>C55/'- 3 -'!E55</f>
        <v>0.0002650215966375164</v>
      </c>
      <c r="E55" s="405">
        <v>116989</v>
      </c>
      <c r="F55" s="351">
        <f>E55/'- 3 -'!E55</f>
        <v>0.0032296470384402505</v>
      </c>
    </row>
    <row r="56" spans="1:6" ht="12.75">
      <c r="A56" s="13">
        <v>50</v>
      </c>
      <c r="B56" s="14" t="s">
        <v>343</v>
      </c>
      <c r="C56" s="406">
        <v>0</v>
      </c>
      <c r="D56" s="352">
        <f>C56/'- 3 -'!E56</f>
        <v>0</v>
      </c>
      <c r="E56" s="406">
        <v>32653</v>
      </c>
      <c r="F56" s="352">
        <f>E56/'- 3 -'!E56</f>
        <v>0.00226532959980264</v>
      </c>
    </row>
    <row r="57" spans="1:6" ht="12.75">
      <c r="A57" s="11">
        <v>2264</v>
      </c>
      <c r="B57" s="12" t="s">
        <v>161</v>
      </c>
      <c r="C57" s="405">
        <v>0</v>
      </c>
      <c r="D57" s="351">
        <f>C57/'- 3 -'!E57</f>
        <v>0</v>
      </c>
      <c r="E57" s="405">
        <v>17977</v>
      </c>
      <c r="F57" s="351">
        <f>E57/'- 3 -'!E57</f>
        <v>0.008539166943345269</v>
      </c>
    </row>
    <row r="58" spans="1:6" ht="12.75">
      <c r="A58" s="13">
        <v>2309</v>
      </c>
      <c r="B58" s="14" t="s">
        <v>162</v>
      </c>
      <c r="C58" s="406">
        <v>0</v>
      </c>
      <c r="D58" s="352">
        <f>C58/'- 3 -'!E58</f>
        <v>0</v>
      </c>
      <c r="E58" s="406">
        <v>23602</v>
      </c>
      <c r="F58" s="352">
        <f>E58/'- 3 -'!E58</f>
        <v>0.010419508611700469</v>
      </c>
    </row>
    <row r="59" spans="1:6" ht="12.75">
      <c r="A59" s="11">
        <v>2312</v>
      </c>
      <c r="B59" s="12" t="s">
        <v>163</v>
      </c>
      <c r="C59" s="405">
        <v>0</v>
      </c>
      <c r="D59" s="351">
        <f>C59/'- 3 -'!E59</f>
        <v>0</v>
      </c>
      <c r="E59" s="405">
        <v>4429</v>
      </c>
      <c r="F59" s="351">
        <f>E59/'- 3 -'!E59</f>
        <v>0.002198677219390655</v>
      </c>
    </row>
    <row r="60" spans="1:6" ht="12.75">
      <c r="A60" s="13">
        <v>2355</v>
      </c>
      <c r="B60" s="14" t="s">
        <v>164</v>
      </c>
      <c r="C60" s="406">
        <v>0</v>
      </c>
      <c r="D60" s="352">
        <f>C60/'- 3 -'!E60</f>
        <v>0</v>
      </c>
      <c r="E60" s="406">
        <v>48097</v>
      </c>
      <c r="F60" s="352">
        <f>E60/'- 3 -'!E60</f>
        <v>0.0019335395902329551</v>
      </c>
    </row>
    <row r="61" spans="1:6" ht="12.75">
      <c r="A61" s="11">
        <v>2439</v>
      </c>
      <c r="B61" s="12" t="s">
        <v>165</v>
      </c>
      <c r="C61" s="405">
        <v>0</v>
      </c>
      <c r="D61" s="351">
        <f>C61/'- 3 -'!E61</f>
        <v>0</v>
      </c>
      <c r="E61" s="405">
        <v>-6078.13</v>
      </c>
      <c r="F61" s="351">
        <f>E61/'- 3 -'!E61</f>
        <v>-0.004350277138147153</v>
      </c>
    </row>
    <row r="62" spans="1:6" ht="12.75">
      <c r="A62" s="13">
        <v>2460</v>
      </c>
      <c r="B62" s="14" t="s">
        <v>166</v>
      </c>
      <c r="C62" s="406">
        <v>0</v>
      </c>
      <c r="D62" s="352">
        <f>C62/'- 3 -'!E62</f>
        <v>0</v>
      </c>
      <c r="E62" s="406">
        <v>15109</v>
      </c>
      <c r="F62" s="352">
        <f>E62/'- 3 -'!E62</f>
        <v>0.004572227823983905</v>
      </c>
    </row>
    <row r="63" spans="1:6" ht="12.75">
      <c r="A63" s="11">
        <v>3000</v>
      </c>
      <c r="B63" s="12" t="s">
        <v>366</v>
      </c>
      <c r="C63" s="405">
        <v>0</v>
      </c>
      <c r="D63" s="351">
        <f>C63/'- 3 -'!E63</f>
        <v>0</v>
      </c>
      <c r="E63" s="405">
        <v>0</v>
      </c>
      <c r="F63" s="351">
        <f>E63/'- 3 -'!E63</f>
        <v>0</v>
      </c>
    </row>
    <row r="64" spans="1:6" ht="4.5" customHeight="1">
      <c r="A64" s="15"/>
      <c r="B64" s="15"/>
      <c r="C64" s="412"/>
      <c r="D64" s="194"/>
      <c r="E64" s="412"/>
      <c r="F64" s="194"/>
    </row>
    <row r="65" spans="1:7" ht="12.75">
      <c r="A65" s="17"/>
      <c r="B65" s="18" t="s">
        <v>167</v>
      </c>
      <c r="C65" s="407">
        <f>SUM(C11:C63)</f>
        <v>2239909</v>
      </c>
      <c r="D65" s="100">
        <f>C65/'- 3 -'!E65</f>
        <v>0.0017262445804491233</v>
      </c>
      <c r="E65" s="407">
        <f>SUM(E11:E63)</f>
        <v>2254244.87</v>
      </c>
      <c r="F65" s="100">
        <f>E65/'- 3 -'!E65</f>
        <v>0.0017372928944179155</v>
      </c>
      <c r="G65" s="74"/>
    </row>
    <row r="66" spans="1:6" ht="4.5" customHeight="1">
      <c r="A66" s="15"/>
      <c r="B66" s="15"/>
      <c r="C66" s="412"/>
      <c r="D66" s="194"/>
      <c r="E66" s="412"/>
      <c r="F66" s="194"/>
    </row>
    <row r="67" spans="1:6" ht="12.75">
      <c r="A67" s="13">
        <v>2155</v>
      </c>
      <c r="B67" s="14" t="s">
        <v>168</v>
      </c>
      <c r="C67" s="406">
        <v>0</v>
      </c>
      <c r="D67" s="352">
        <f>C67/'- 3 -'!E67</f>
        <v>0</v>
      </c>
      <c r="E67" s="406">
        <v>3269.6</v>
      </c>
      <c r="F67" s="352">
        <f>E67/'- 3 -'!E67</f>
        <v>0.002732414267932557</v>
      </c>
    </row>
    <row r="68" spans="1:6" ht="12.75">
      <c r="A68" s="11">
        <v>2408</v>
      </c>
      <c r="B68" s="12" t="s">
        <v>170</v>
      </c>
      <c r="C68" s="405">
        <v>0</v>
      </c>
      <c r="D68" s="351">
        <f>C68/'- 3 -'!E68</f>
        <v>0</v>
      </c>
      <c r="E68" s="405">
        <v>21739</v>
      </c>
      <c r="F68" s="351">
        <f>E68/'- 3 -'!E68</f>
        <v>0.010139818389084688</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15.83203125" style="79" customWidth="1"/>
    <col min="5" max="5" width="16.83203125" style="79" customWidth="1"/>
    <col min="6" max="6" width="15.83203125" style="79" customWidth="1"/>
    <col min="7" max="7" width="16.83203125" style="79" customWidth="1"/>
    <col min="8" max="16384" width="15.83203125" style="79" customWidth="1"/>
  </cols>
  <sheetData>
    <row r="1" spans="1:8" ht="6.75" customHeight="1">
      <c r="A1" s="15"/>
      <c r="B1" s="77"/>
      <c r="C1" s="139"/>
      <c r="D1" s="139"/>
      <c r="E1" s="139"/>
      <c r="F1" s="139"/>
      <c r="G1" s="139"/>
      <c r="H1" s="139"/>
    </row>
    <row r="2" spans="1:8" ht="12.75">
      <c r="A2" s="6"/>
      <c r="B2" s="80"/>
      <c r="C2" s="196" t="s">
        <v>0</v>
      </c>
      <c r="D2" s="196"/>
      <c r="E2" s="197"/>
      <c r="F2" s="196"/>
      <c r="G2" s="211"/>
      <c r="H2" s="216" t="s">
        <v>432</v>
      </c>
    </row>
    <row r="3" spans="1:8" ht="12.75">
      <c r="A3" s="7"/>
      <c r="B3" s="83"/>
      <c r="C3" s="199" t="str">
        <f>YEAR</f>
        <v>OPERATING FUND ACTUAL 2001/2002</v>
      </c>
      <c r="D3" s="199"/>
      <c r="E3" s="200"/>
      <c r="F3" s="199"/>
      <c r="G3" s="212"/>
      <c r="H3" s="212"/>
    </row>
    <row r="4" spans="1:8" ht="12.75">
      <c r="A4" s="8"/>
      <c r="C4" s="139"/>
      <c r="D4" s="139"/>
      <c r="E4" s="139"/>
      <c r="F4" s="139"/>
      <c r="G4" s="139"/>
      <c r="H4" s="139"/>
    </row>
    <row r="5" spans="1:8" ht="12.75">
      <c r="A5" s="8"/>
      <c r="C5" s="54"/>
      <c r="D5" s="139"/>
      <c r="E5" s="139"/>
      <c r="F5" s="139"/>
      <c r="G5" s="139"/>
      <c r="H5" s="139"/>
    </row>
    <row r="6" spans="1:8" ht="16.5">
      <c r="A6" s="8"/>
      <c r="C6" s="330" t="s">
        <v>27</v>
      </c>
      <c r="D6" s="218"/>
      <c r="E6" s="219"/>
      <c r="F6" s="219"/>
      <c r="G6" s="219"/>
      <c r="H6" s="220"/>
    </row>
    <row r="7" spans="3:8" ht="12.75">
      <c r="C7" s="201"/>
      <c r="D7" s="63"/>
      <c r="E7" s="62" t="s">
        <v>61</v>
      </c>
      <c r="F7" s="62"/>
      <c r="G7" s="62"/>
      <c r="H7" s="63"/>
    </row>
    <row r="8" spans="1:8" ht="12.75">
      <c r="A8" s="91"/>
      <c r="B8" s="43"/>
      <c r="C8" s="65" t="s">
        <v>38</v>
      </c>
      <c r="D8" s="67"/>
      <c r="E8" s="65" t="s">
        <v>68</v>
      </c>
      <c r="F8" s="67"/>
      <c r="G8" s="65" t="s">
        <v>73</v>
      </c>
      <c r="H8" s="67"/>
    </row>
    <row r="9" spans="1:8" ht="12.75">
      <c r="A9" s="49" t="s">
        <v>101</v>
      </c>
      <c r="B9" s="50" t="s">
        <v>102</v>
      </c>
      <c r="C9" s="221" t="s">
        <v>103</v>
      </c>
      <c r="D9" s="130" t="s">
        <v>104</v>
      </c>
      <c r="E9" s="130" t="s">
        <v>103</v>
      </c>
      <c r="F9" s="130" t="s">
        <v>104</v>
      </c>
      <c r="G9" s="130" t="s">
        <v>103</v>
      </c>
      <c r="H9" s="130" t="s">
        <v>104</v>
      </c>
    </row>
    <row r="10" spans="1:2" ht="4.5" customHeight="1">
      <c r="A10" s="74"/>
      <c r="B10" s="74"/>
    </row>
    <row r="11" spans="1:8" ht="12.75">
      <c r="A11" s="11">
        <v>1</v>
      </c>
      <c r="B11" s="12" t="s">
        <v>116</v>
      </c>
      <c r="C11" s="405">
        <v>1127155</v>
      </c>
      <c r="D11" s="351">
        <f>C11/'- 3 -'!E11</f>
        <v>0.004676339961296719</v>
      </c>
      <c r="E11" s="405">
        <v>22197037</v>
      </c>
      <c r="F11" s="351">
        <f>E11/'- 3 -'!E11</f>
        <v>0.09209105326728076</v>
      </c>
      <c r="G11" s="405">
        <v>7205069</v>
      </c>
      <c r="H11" s="351">
        <f>G11/'- 3 -'!E11</f>
        <v>0.02989238577533719</v>
      </c>
    </row>
    <row r="12" spans="1:8" ht="12.75">
      <c r="A12" s="13">
        <v>2</v>
      </c>
      <c r="B12" s="14" t="s">
        <v>117</v>
      </c>
      <c r="C12" s="406">
        <v>264684</v>
      </c>
      <c r="D12" s="352">
        <f>C12/'- 3 -'!E12</f>
        <v>0.004404676554884073</v>
      </c>
      <c r="E12" s="406">
        <v>5021055</v>
      </c>
      <c r="F12" s="352">
        <f>E12/'- 3 -'!E12</f>
        <v>0.08355670625834372</v>
      </c>
      <c r="G12" s="406">
        <v>908734</v>
      </c>
      <c r="H12" s="352">
        <f>G12/'- 3 -'!E12</f>
        <v>0.01512248320422097</v>
      </c>
    </row>
    <row r="13" spans="1:8" ht="12.75">
      <c r="A13" s="11">
        <v>3</v>
      </c>
      <c r="B13" s="12" t="s">
        <v>118</v>
      </c>
      <c r="C13" s="405">
        <v>244094</v>
      </c>
      <c r="D13" s="351">
        <f>C13/'- 3 -'!E13</f>
        <v>0.005814475326580976</v>
      </c>
      <c r="E13" s="405">
        <v>3943237</v>
      </c>
      <c r="F13" s="351">
        <f>E13/'- 3 -'!E13</f>
        <v>0.09393042943849987</v>
      </c>
      <c r="G13" s="405">
        <v>512547</v>
      </c>
      <c r="H13" s="351">
        <f>G13/'- 3 -'!E13</f>
        <v>0.012209197625558594</v>
      </c>
    </row>
    <row r="14" spans="1:8" ht="12.75">
      <c r="A14" s="13">
        <v>4</v>
      </c>
      <c r="B14" s="14" t="s">
        <v>119</v>
      </c>
      <c r="C14" s="406">
        <v>189947.67</v>
      </c>
      <c r="D14" s="352">
        <f>C14/'- 3 -'!E14</f>
        <v>0.004569823866196426</v>
      </c>
      <c r="E14" s="406">
        <v>4452769</v>
      </c>
      <c r="F14" s="352">
        <f>E14/'- 3 -'!E14</f>
        <v>0.10712618926496752</v>
      </c>
      <c r="G14" s="406">
        <v>266570</v>
      </c>
      <c r="H14" s="352">
        <f>G14/'- 3 -'!E14</f>
        <v>0.006413229222616846</v>
      </c>
    </row>
    <row r="15" spans="1:8" ht="12.75">
      <c r="A15" s="11">
        <v>5</v>
      </c>
      <c r="B15" s="12" t="s">
        <v>120</v>
      </c>
      <c r="C15" s="405">
        <v>285839</v>
      </c>
      <c r="D15" s="351">
        <f>C15/'- 3 -'!E15</f>
        <v>0.0056874695121199</v>
      </c>
      <c r="E15" s="405">
        <v>3924578</v>
      </c>
      <c r="F15" s="351">
        <f>E15/'- 3 -'!E15</f>
        <v>0.0780891261267234</v>
      </c>
      <c r="G15" s="405">
        <v>236221</v>
      </c>
      <c r="H15" s="351">
        <f>G15/'- 3 -'!E15</f>
        <v>0.004700197438496759</v>
      </c>
    </row>
    <row r="16" spans="1:8" ht="12.75">
      <c r="A16" s="13">
        <v>6</v>
      </c>
      <c r="B16" s="14" t="s">
        <v>121</v>
      </c>
      <c r="C16" s="406">
        <v>262186</v>
      </c>
      <c r="D16" s="352">
        <f>C16/'- 3 -'!E16</f>
        <v>0.004526989228937114</v>
      </c>
      <c r="E16" s="406">
        <v>5592514</v>
      </c>
      <c r="F16" s="352">
        <f>E16/'- 3 -'!E16</f>
        <v>0.09656217586247937</v>
      </c>
      <c r="G16" s="406">
        <v>154217</v>
      </c>
      <c r="H16" s="352">
        <f>G16/'- 3 -'!E16</f>
        <v>0.0026627611616142546</v>
      </c>
    </row>
    <row r="17" spans="1:8" ht="12.75">
      <c r="A17" s="11">
        <v>9</v>
      </c>
      <c r="B17" s="12" t="s">
        <v>122</v>
      </c>
      <c r="C17" s="405">
        <v>383477</v>
      </c>
      <c r="D17" s="351">
        <f>C17/'- 3 -'!E17</f>
        <v>0.004703987829888004</v>
      </c>
      <c r="E17" s="405">
        <v>7756033</v>
      </c>
      <c r="F17" s="351">
        <f>E17/'- 3 -'!E17</f>
        <v>0.09514073814129595</v>
      </c>
      <c r="G17" s="405">
        <v>376802</v>
      </c>
      <c r="H17" s="351">
        <f>G17/'- 3 -'!E17</f>
        <v>0.00462210777250646</v>
      </c>
    </row>
    <row r="18" spans="1:8" ht="12.75">
      <c r="A18" s="13">
        <v>10</v>
      </c>
      <c r="B18" s="14" t="s">
        <v>123</v>
      </c>
      <c r="C18" s="406">
        <v>669121.79</v>
      </c>
      <c r="D18" s="352">
        <f>C18/'- 3 -'!E18</f>
        <v>0.011166730916474231</v>
      </c>
      <c r="E18" s="406">
        <v>6224494.23</v>
      </c>
      <c r="F18" s="352">
        <f>E18/'- 3 -'!E18</f>
        <v>0.1038783270793744</v>
      </c>
      <c r="G18" s="406">
        <v>715588.52</v>
      </c>
      <c r="H18" s="352">
        <f>G18/'- 3 -'!E18</f>
        <v>0.01194219732368608</v>
      </c>
    </row>
    <row r="19" spans="1:8" ht="12.75">
      <c r="A19" s="11">
        <v>11</v>
      </c>
      <c r="B19" s="12" t="s">
        <v>124</v>
      </c>
      <c r="C19" s="405">
        <v>134760</v>
      </c>
      <c r="D19" s="351">
        <f>C19/'- 3 -'!E19</f>
        <v>0.004168515293078084</v>
      </c>
      <c r="E19" s="405">
        <v>2995380</v>
      </c>
      <c r="F19" s="351">
        <f>E19/'- 3 -'!E19</f>
        <v>0.0926557386359471</v>
      </c>
      <c r="G19" s="405">
        <v>100295</v>
      </c>
      <c r="H19" s="351">
        <f>G19/'- 3 -'!E19</f>
        <v>0.003102413485598593</v>
      </c>
    </row>
    <row r="20" spans="1:8" ht="12.75">
      <c r="A20" s="13">
        <v>12</v>
      </c>
      <c r="B20" s="14" t="s">
        <v>125</v>
      </c>
      <c r="C20" s="406">
        <v>158203</v>
      </c>
      <c r="D20" s="352">
        <f>C20/'- 3 -'!E20</f>
        <v>0.0030542076047246113</v>
      </c>
      <c r="E20" s="406">
        <v>4531517</v>
      </c>
      <c r="F20" s="352">
        <f>E20/'- 3 -'!E20</f>
        <v>0.08748376252244809</v>
      </c>
      <c r="G20" s="406">
        <v>156185</v>
      </c>
      <c r="H20" s="352">
        <f>G20/'- 3 -'!E20</f>
        <v>0.0030152488558618574</v>
      </c>
    </row>
    <row r="21" spans="1:8" ht="12.75">
      <c r="A21" s="11">
        <v>13</v>
      </c>
      <c r="B21" s="12" t="s">
        <v>126</v>
      </c>
      <c r="C21" s="405">
        <v>40025</v>
      </c>
      <c r="D21" s="351">
        <f>C21/'- 3 -'!E21</f>
        <v>0.0020247007932324966</v>
      </c>
      <c r="E21" s="405">
        <v>1736553</v>
      </c>
      <c r="F21" s="351">
        <f>E21/'- 3 -'!E21</f>
        <v>0.0878451027255533</v>
      </c>
      <c r="G21" s="405">
        <v>197603</v>
      </c>
      <c r="H21" s="351">
        <f>G21/'- 3 -'!E21</f>
        <v>0.009995926317179788</v>
      </c>
    </row>
    <row r="22" spans="1:8" ht="12.75">
      <c r="A22" s="13">
        <v>14</v>
      </c>
      <c r="B22" s="14" t="s">
        <v>127</v>
      </c>
      <c r="C22" s="406">
        <v>85711</v>
      </c>
      <c r="D22" s="352">
        <f>C22/'- 3 -'!E22</f>
        <v>0.0037273294155355913</v>
      </c>
      <c r="E22" s="406">
        <v>2247868</v>
      </c>
      <c r="F22" s="352">
        <f>E22/'- 3 -'!E22</f>
        <v>0.09775343326575538</v>
      </c>
      <c r="G22" s="406">
        <v>200436</v>
      </c>
      <c r="H22" s="352">
        <f>G22/'- 3 -'!E22</f>
        <v>0.008716395780381652</v>
      </c>
    </row>
    <row r="23" spans="1:8" ht="12.75">
      <c r="A23" s="11">
        <v>15</v>
      </c>
      <c r="B23" s="12" t="s">
        <v>128</v>
      </c>
      <c r="C23" s="405">
        <v>89779</v>
      </c>
      <c r="D23" s="351">
        <f>C23/'- 3 -'!E23</f>
        <v>0.0028067003793339393</v>
      </c>
      <c r="E23" s="405">
        <v>3113913</v>
      </c>
      <c r="F23" s="351">
        <f>E23/'- 3 -'!E23</f>
        <v>0.09734816380571051</v>
      </c>
      <c r="G23" s="405">
        <v>186911</v>
      </c>
      <c r="H23" s="351">
        <f>G23/'- 3 -'!E23</f>
        <v>0.0058432726428417105</v>
      </c>
    </row>
    <row r="24" spans="1:8" ht="12.75">
      <c r="A24" s="13">
        <v>16</v>
      </c>
      <c r="B24" s="14" t="s">
        <v>129</v>
      </c>
      <c r="C24" s="406">
        <v>33495</v>
      </c>
      <c r="D24" s="352">
        <f>C24/'- 3 -'!E24</f>
        <v>0.0054199771084244945</v>
      </c>
      <c r="E24" s="406">
        <v>646459</v>
      </c>
      <c r="F24" s="352">
        <f>E24/'- 3 -'!E24</f>
        <v>0.1046064481724135</v>
      </c>
      <c r="G24" s="406">
        <v>21235</v>
      </c>
      <c r="H24" s="352">
        <f>G24/'- 3 -'!E24</f>
        <v>0.003436131180695451</v>
      </c>
    </row>
    <row r="25" spans="1:8" ht="12.75">
      <c r="A25" s="11">
        <v>17</v>
      </c>
      <c r="B25" s="12" t="s">
        <v>130</v>
      </c>
      <c r="C25" s="405">
        <v>60514</v>
      </c>
      <c r="D25" s="351">
        <f>C25/'- 3 -'!E25</f>
        <v>0.014536479696239127</v>
      </c>
      <c r="E25" s="405">
        <v>307454</v>
      </c>
      <c r="F25" s="351">
        <f>E25/'- 3 -'!E25</f>
        <v>0.07385561735346373</v>
      </c>
      <c r="G25" s="405">
        <v>47034</v>
      </c>
      <c r="H25" s="351">
        <f>G25/'- 3 -'!E25</f>
        <v>0.011298357174090477</v>
      </c>
    </row>
    <row r="26" spans="1:8" ht="12.75">
      <c r="A26" s="13">
        <v>18</v>
      </c>
      <c r="B26" s="14" t="s">
        <v>131</v>
      </c>
      <c r="C26" s="406">
        <v>69826</v>
      </c>
      <c r="D26" s="352">
        <f>C26/'- 3 -'!E26</f>
        <v>0.007270607968777715</v>
      </c>
      <c r="E26" s="406">
        <v>832965.4</v>
      </c>
      <c r="F26" s="352">
        <f>E26/'- 3 -'!E26</f>
        <v>0.08673223262045825</v>
      </c>
      <c r="G26" s="406">
        <v>50462</v>
      </c>
      <c r="H26" s="352">
        <f>G26/'- 3 -'!E26</f>
        <v>0.005254338202395398</v>
      </c>
    </row>
    <row r="27" spans="1:8" ht="12.75">
      <c r="A27" s="11">
        <v>19</v>
      </c>
      <c r="B27" s="12" t="s">
        <v>132</v>
      </c>
      <c r="C27" s="405">
        <v>52508</v>
      </c>
      <c r="D27" s="351">
        <f>C27/'- 3 -'!E27</f>
        <v>0.003572108854872939</v>
      </c>
      <c r="E27" s="405">
        <v>1076720.47</v>
      </c>
      <c r="F27" s="351">
        <f>E27/'- 3 -'!E27</f>
        <v>0.07324908061838106</v>
      </c>
      <c r="G27" s="405">
        <v>81033.17</v>
      </c>
      <c r="H27" s="351">
        <f>G27/'- 3 -'!E27</f>
        <v>0.005512670528213305</v>
      </c>
    </row>
    <row r="28" spans="1:8" ht="12.75">
      <c r="A28" s="13">
        <v>20</v>
      </c>
      <c r="B28" s="14" t="s">
        <v>133</v>
      </c>
      <c r="C28" s="406">
        <v>24958</v>
      </c>
      <c r="D28" s="352">
        <f>C28/'- 3 -'!E28</f>
        <v>0.003301715375942192</v>
      </c>
      <c r="E28" s="406">
        <v>521187</v>
      </c>
      <c r="F28" s="352">
        <f>E28/'- 3 -'!E28</f>
        <v>0.06894827837331449</v>
      </c>
      <c r="G28" s="406">
        <v>44203</v>
      </c>
      <c r="H28" s="352">
        <f>G28/'- 3 -'!E28</f>
        <v>0.005847653047630928</v>
      </c>
    </row>
    <row r="29" spans="1:8" ht="12.75">
      <c r="A29" s="11">
        <v>21</v>
      </c>
      <c r="B29" s="12" t="s">
        <v>134</v>
      </c>
      <c r="C29" s="405">
        <v>100644</v>
      </c>
      <c r="D29" s="351">
        <f>C29/'- 3 -'!E29</f>
        <v>0.004512071823016175</v>
      </c>
      <c r="E29" s="405">
        <v>1883363</v>
      </c>
      <c r="F29" s="351">
        <f>E29/'- 3 -'!E29</f>
        <v>0.08443493029699944</v>
      </c>
      <c r="G29" s="405">
        <v>348991</v>
      </c>
      <c r="H29" s="351">
        <f>G29/'- 3 -'!E29</f>
        <v>0.01564596456406977</v>
      </c>
    </row>
    <row r="30" spans="1:8" ht="12.75">
      <c r="A30" s="13">
        <v>22</v>
      </c>
      <c r="B30" s="14" t="s">
        <v>135</v>
      </c>
      <c r="C30" s="406">
        <v>55695</v>
      </c>
      <c r="D30" s="352">
        <f>C30/'- 3 -'!E30</f>
        <v>0.004731263470339068</v>
      </c>
      <c r="E30" s="406">
        <v>1154910</v>
      </c>
      <c r="F30" s="352">
        <f>E30/'- 3 -'!E30</f>
        <v>0.09810904918806523</v>
      </c>
      <c r="G30" s="406">
        <v>104083</v>
      </c>
      <c r="H30" s="352">
        <f>G30/'- 3 -'!E30</f>
        <v>0.008841800804081179</v>
      </c>
    </row>
    <row r="31" spans="1:8" ht="12.75">
      <c r="A31" s="11">
        <v>23</v>
      </c>
      <c r="B31" s="12" t="s">
        <v>136</v>
      </c>
      <c r="C31" s="405">
        <v>39371</v>
      </c>
      <c r="D31" s="351">
        <f>C31/'- 3 -'!E31</f>
        <v>0.0038926013385383647</v>
      </c>
      <c r="E31" s="405">
        <v>781474</v>
      </c>
      <c r="F31" s="351">
        <f>E31/'- 3 -'!E31</f>
        <v>0.07726414717515252</v>
      </c>
      <c r="G31" s="405">
        <v>114871</v>
      </c>
      <c r="H31" s="351">
        <f>G31/'- 3 -'!E31</f>
        <v>0.011357268252247607</v>
      </c>
    </row>
    <row r="32" spans="1:8" ht="12.75">
      <c r="A32" s="13">
        <v>24</v>
      </c>
      <c r="B32" s="14" t="s">
        <v>137</v>
      </c>
      <c r="C32" s="406">
        <v>151162</v>
      </c>
      <c r="D32" s="352">
        <f>C32/'- 3 -'!E32</f>
        <v>0.006649989122862818</v>
      </c>
      <c r="E32" s="406">
        <v>2430125</v>
      </c>
      <c r="F32" s="352">
        <f>E32/'- 3 -'!E32</f>
        <v>0.10690719107445659</v>
      </c>
      <c r="G32" s="406">
        <v>170593</v>
      </c>
      <c r="H32" s="352">
        <f>G32/'- 3 -'!E32</f>
        <v>0.0075048067267999684</v>
      </c>
    </row>
    <row r="33" spans="1:8" ht="12.75">
      <c r="A33" s="11">
        <v>25</v>
      </c>
      <c r="B33" s="12" t="s">
        <v>138</v>
      </c>
      <c r="C33" s="405">
        <v>35183</v>
      </c>
      <c r="D33" s="351">
        <f>C33/'- 3 -'!E33</f>
        <v>0.003348132504701546</v>
      </c>
      <c r="E33" s="405">
        <v>878421</v>
      </c>
      <c r="F33" s="351">
        <f>E33/'- 3 -'!E33</f>
        <v>0.0835934940997765</v>
      </c>
      <c r="G33" s="405">
        <v>139924</v>
      </c>
      <c r="H33" s="351">
        <f>G33/'- 3 -'!E33</f>
        <v>0.013315638023700626</v>
      </c>
    </row>
    <row r="34" spans="1:8" ht="12.75">
      <c r="A34" s="13">
        <v>26</v>
      </c>
      <c r="B34" s="14" t="s">
        <v>139</v>
      </c>
      <c r="C34" s="406">
        <v>45539</v>
      </c>
      <c r="D34" s="352">
        <f>C34/'- 3 -'!E34</f>
        <v>0.0028076924570863394</v>
      </c>
      <c r="E34" s="406">
        <v>1362999</v>
      </c>
      <c r="F34" s="352">
        <f>E34/'- 3 -'!E34</f>
        <v>0.08403526672338486</v>
      </c>
      <c r="G34" s="406">
        <v>50975</v>
      </c>
      <c r="H34" s="352">
        <f>G34/'- 3 -'!E34</f>
        <v>0.0031428472957240198</v>
      </c>
    </row>
    <row r="35" spans="1:8" ht="12.75">
      <c r="A35" s="11">
        <v>28</v>
      </c>
      <c r="B35" s="12" t="s">
        <v>140</v>
      </c>
      <c r="C35" s="405">
        <v>91500</v>
      </c>
      <c r="D35" s="351">
        <f>C35/'- 3 -'!E35</f>
        <v>0.01436515662966108</v>
      </c>
      <c r="E35" s="405">
        <v>445278</v>
      </c>
      <c r="F35" s="351">
        <f>E35/'- 3 -'!E35</f>
        <v>0.06990697501357625</v>
      </c>
      <c r="G35" s="405">
        <v>63819</v>
      </c>
      <c r="H35" s="351">
        <f>G35/'- 3 -'!E35</f>
        <v>0.010019343507632138</v>
      </c>
    </row>
    <row r="36" spans="1:8" ht="12.75">
      <c r="A36" s="13">
        <v>30</v>
      </c>
      <c r="B36" s="14" t="s">
        <v>141</v>
      </c>
      <c r="C36" s="406">
        <v>38206</v>
      </c>
      <c r="D36" s="352">
        <f>C36/'- 3 -'!E36</f>
        <v>0.004135319302587264</v>
      </c>
      <c r="E36" s="406">
        <v>765515</v>
      </c>
      <c r="F36" s="352">
        <f>E36/'- 3 -'!E36</f>
        <v>0.08285737726849421</v>
      </c>
      <c r="G36" s="406">
        <v>179295</v>
      </c>
      <c r="H36" s="352">
        <f>G36/'- 3 -'!E36</f>
        <v>0.019406430255912252</v>
      </c>
    </row>
    <row r="37" spans="1:8" ht="12.75">
      <c r="A37" s="11">
        <v>31</v>
      </c>
      <c r="B37" s="12" t="s">
        <v>142</v>
      </c>
      <c r="C37" s="405">
        <v>70743</v>
      </c>
      <c r="D37" s="351">
        <f>C37/'- 3 -'!E37</f>
        <v>0.006575158665215744</v>
      </c>
      <c r="E37" s="405">
        <v>877453</v>
      </c>
      <c r="F37" s="351">
        <f>E37/'- 3 -'!E37</f>
        <v>0.08155425549198579</v>
      </c>
      <c r="G37" s="405">
        <v>216399</v>
      </c>
      <c r="H37" s="351">
        <f>G37/'- 3 -'!E37</f>
        <v>0.020113053729613133</v>
      </c>
    </row>
    <row r="38" spans="1:8" ht="12.75">
      <c r="A38" s="13">
        <v>32</v>
      </c>
      <c r="B38" s="14" t="s">
        <v>143</v>
      </c>
      <c r="C38" s="406">
        <v>26819</v>
      </c>
      <c r="D38" s="352">
        <f>C38/'- 3 -'!E38</f>
        <v>0.00422787815213232</v>
      </c>
      <c r="E38" s="406">
        <v>606548</v>
      </c>
      <c r="F38" s="352">
        <f>E38/'- 3 -'!E38</f>
        <v>0.09561918928444589</v>
      </c>
      <c r="G38" s="406">
        <v>46471</v>
      </c>
      <c r="H38" s="352">
        <f>G38/'- 3 -'!E38</f>
        <v>0.0073259154184623235</v>
      </c>
    </row>
    <row r="39" spans="1:8" ht="12.75">
      <c r="A39" s="11">
        <v>33</v>
      </c>
      <c r="B39" s="12" t="s">
        <v>144</v>
      </c>
      <c r="C39" s="405">
        <v>61163</v>
      </c>
      <c r="D39" s="351">
        <f>C39/'- 3 -'!E39</f>
        <v>0.004704475224068872</v>
      </c>
      <c r="E39" s="405">
        <v>1264965</v>
      </c>
      <c r="F39" s="351">
        <f>E39/'- 3 -'!E39</f>
        <v>0.09729732847986985</v>
      </c>
      <c r="G39" s="405">
        <v>40150</v>
      </c>
      <c r="H39" s="351">
        <f>G39/'- 3 -'!E39</f>
        <v>0.0030882180443465032</v>
      </c>
    </row>
    <row r="40" spans="1:8" ht="12.75">
      <c r="A40" s="13">
        <v>34</v>
      </c>
      <c r="B40" s="14" t="s">
        <v>145</v>
      </c>
      <c r="C40" s="406">
        <v>31887.01</v>
      </c>
      <c r="D40" s="352">
        <f>C40/'- 3 -'!E40</f>
        <v>0.0055085646821372</v>
      </c>
      <c r="E40" s="406">
        <v>654479.94</v>
      </c>
      <c r="F40" s="352">
        <f>E40/'- 3 -'!E40</f>
        <v>0.11306312767021033</v>
      </c>
      <c r="G40" s="406">
        <v>30322</v>
      </c>
      <c r="H40" s="352">
        <f>G40/'- 3 -'!E40</f>
        <v>0.00523820509642529</v>
      </c>
    </row>
    <row r="41" spans="1:8" ht="12.75">
      <c r="A41" s="11">
        <v>35</v>
      </c>
      <c r="B41" s="12" t="s">
        <v>146</v>
      </c>
      <c r="C41" s="405">
        <v>81117.43</v>
      </c>
      <c r="D41" s="351">
        <f>C41/'- 3 -'!E41</f>
        <v>0.005827903805931643</v>
      </c>
      <c r="E41" s="405">
        <v>1307388</v>
      </c>
      <c r="F41" s="351">
        <f>E41/'- 3 -'!E41</f>
        <v>0.0939296462058692</v>
      </c>
      <c r="G41" s="405">
        <v>111752</v>
      </c>
      <c r="H41" s="351">
        <f>G41/'- 3 -'!E41</f>
        <v>0.008028852814006473</v>
      </c>
    </row>
    <row r="42" spans="1:8" ht="12.75">
      <c r="A42" s="13">
        <v>36</v>
      </c>
      <c r="B42" s="14" t="s">
        <v>147</v>
      </c>
      <c r="C42" s="406">
        <v>45786</v>
      </c>
      <c r="D42" s="352">
        <f>C42/'- 3 -'!E42</f>
        <v>0.005713486608395259</v>
      </c>
      <c r="E42" s="406">
        <v>895368</v>
      </c>
      <c r="F42" s="352">
        <f>E42/'- 3 -'!E42</f>
        <v>0.11173007202170197</v>
      </c>
      <c r="G42" s="406">
        <v>56277</v>
      </c>
      <c r="H42" s="352">
        <f>G42/'- 3 -'!E42</f>
        <v>0.007022624511000306</v>
      </c>
    </row>
    <row r="43" spans="1:8" ht="12.75">
      <c r="A43" s="11">
        <v>37</v>
      </c>
      <c r="B43" s="12" t="s">
        <v>148</v>
      </c>
      <c r="C43" s="405">
        <v>27710</v>
      </c>
      <c r="D43" s="351">
        <f>C43/'- 3 -'!E43</f>
        <v>0.004032064830410699</v>
      </c>
      <c r="E43" s="405">
        <v>673555</v>
      </c>
      <c r="F43" s="351">
        <f>E43/'- 3 -'!E43</f>
        <v>0.09800856827308835</v>
      </c>
      <c r="G43" s="405">
        <v>42055</v>
      </c>
      <c r="H43" s="351">
        <f>G43/'- 3 -'!E43</f>
        <v>0.006119396840235364</v>
      </c>
    </row>
    <row r="44" spans="1:8" ht="12.75">
      <c r="A44" s="13">
        <v>38</v>
      </c>
      <c r="B44" s="14" t="s">
        <v>149</v>
      </c>
      <c r="C44" s="406">
        <v>40929</v>
      </c>
      <c r="D44" s="352">
        <f>C44/'- 3 -'!E44</f>
        <v>0.004581422588297241</v>
      </c>
      <c r="E44" s="406">
        <v>852651</v>
      </c>
      <c r="F44" s="352">
        <f>E44/'- 3 -'!E44</f>
        <v>0.0954422182641704</v>
      </c>
      <c r="G44" s="406">
        <v>57896</v>
      </c>
      <c r="H44" s="352">
        <f>G44/'- 3 -'!E44</f>
        <v>0.0064806382313776795</v>
      </c>
    </row>
    <row r="45" spans="1:8" ht="12.75">
      <c r="A45" s="11">
        <v>39</v>
      </c>
      <c r="B45" s="12" t="s">
        <v>150</v>
      </c>
      <c r="C45" s="405">
        <v>63131</v>
      </c>
      <c r="D45" s="351">
        <f>C45/'- 3 -'!E45</f>
        <v>0.00423070167485016</v>
      </c>
      <c r="E45" s="405">
        <v>1438029</v>
      </c>
      <c r="F45" s="351">
        <f>E45/'- 3 -'!E45</f>
        <v>0.0963690056989926</v>
      </c>
      <c r="G45" s="405">
        <v>83491</v>
      </c>
      <c r="H45" s="351">
        <f>G45/'- 3 -'!E45</f>
        <v>0.005595119886187685</v>
      </c>
    </row>
    <row r="46" spans="1:8" ht="12.75">
      <c r="A46" s="13">
        <v>40</v>
      </c>
      <c r="B46" s="14" t="s">
        <v>151</v>
      </c>
      <c r="C46" s="406">
        <v>139235</v>
      </c>
      <c r="D46" s="352">
        <f>C46/'- 3 -'!E46</f>
        <v>0.0031079821736848074</v>
      </c>
      <c r="E46" s="406">
        <v>3713348</v>
      </c>
      <c r="F46" s="352">
        <f>E46/'- 3 -'!E46</f>
        <v>0.08288878075690834</v>
      </c>
      <c r="G46" s="406">
        <v>288853</v>
      </c>
      <c r="H46" s="352">
        <f>G46/'- 3 -'!E46</f>
        <v>0.006447732070351404</v>
      </c>
    </row>
    <row r="47" spans="1:8" ht="12.75">
      <c r="A47" s="11">
        <v>41</v>
      </c>
      <c r="B47" s="12" t="s">
        <v>152</v>
      </c>
      <c r="C47" s="405">
        <v>70049</v>
      </c>
      <c r="D47" s="351">
        <f>C47/'- 3 -'!E47</f>
        <v>0.0057073467107411026</v>
      </c>
      <c r="E47" s="405">
        <v>1171514</v>
      </c>
      <c r="F47" s="351">
        <f>E47/'- 3 -'!E47</f>
        <v>0.09545084975498797</v>
      </c>
      <c r="G47" s="405">
        <v>251189</v>
      </c>
      <c r="H47" s="351">
        <f>G47/'- 3 -'!E47</f>
        <v>0.020465998271557723</v>
      </c>
    </row>
    <row r="48" spans="1:8" ht="12.75">
      <c r="A48" s="13">
        <v>42</v>
      </c>
      <c r="B48" s="14" t="s">
        <v>153</v>
      </c>
      <c r="C48" s="406">
        <v>19286</v>
      </c>
      <c r="D48" s="352">
        <f>C48/'- 3 -'!E48</f>
        <v>0.0024952110216754477</v>
      </c>
      <c r="E48" s="406">
        <v>699050</v>
      </c>
      <c r="F48" s="352">
        <f>E48/'- 3 -'!E48</f>
        <v>0.0904426664265385</v>
      </c>
      <c r="G48" s="406">
        <v>64921</v>
      </c>
      <c r="H48" s="352">
        <f>G48/'- 3 -'!E48</f>
        <v>0.008399439735465713</v>
      </c>
    </row>
    <row r="49" spans="1:8" ht="12.75">
      <c r="A49" s="11">
        <v>43</v>
      </c>
      <c r="B49" s="12" t="s">
        <v>154</v>
      </c>
      <c r="C49" s="405">
        <v>35945</v>
      </c>
      <c r="D49" s="351">
        <f>C49/'- 3 -'!E49</f>
        <v>0.005653107282435185</v>
      </c>
      <c r="E49" s="405">
        <v>532688</v>
      </c>
      <c r="F49" s="351">
        <f>E49/'- 3 -'!E49</f>
        <v>0.08377639204523114</v>
      </c>
      <c r="G49" s="405">
        <v>82950</v>
      </c>
      <c r="H49" s="351">
        <f>G49/'- 3 -'!E49</f>
        <v>0.013045632190235041</v>
      </c>
    </row>
    <row r="50" spans="1:8" ht="12.75">
      <c r="A50" s="13">
        <v>44</v>
      </c>
      <c r="B50" s="14" t="s">
        <v>155</v>
      </c>
      <c r="C50" s="406">
        <v>33299</v>
      </c>
      <c r="D50" s="352">
        <f>C50/'- 3 -'!E50</f>
        <v>0.003599481745539481</v>
      </c>
      <c r="E50" s="406">
        <v>692145</v>
      </c>
      <c r="F50" s="352">
        <f>E50/'- 3 -'!E50</f>
        <v>0.07481796128311434</v>
      </c>
      <c r="G50" s="406">
        <v>89111</v>
      </c>
      <c r="H50" s="352">
        <f>G50/'- 3 -'!E50</f>
        <v>0.009632524034558656</v>
      </c>
    </row>
    <row r="51" spans="1:8" ht="12.75">
      <c r="A51" s="11">
        <v>45</v>
      </c>
      <c r="B51" s="12" t="s">
        <v>156</v>
      </c>
      <c r="C51" s="405">
        <v>109306</v>
      </c>
      <c r="D51" s="351">
        <f>C51/'- 3 -'!E51</f>
        <v>0.00906396218851907</v>
      </c>
      <c r="E51" s="405">
        <v>1244364</v>
      </c>
      <c r="F51" s="351">
        <f>E51/'- 3 -'!E51</f>
        <v>0.10318617683159519</v>
      </c>
      <c r="G51" s="405">
        <v>55839</v>
      </c>
      <c r="H51" s="351">
        <f>G51/'- 3 -'!E51</f>
        <v>0.004630327563397401</v>
      </c>
    </row>
    <row r="52" spans="1:8" ht="12.75">
      <c r="A52" s="13">
        <v>46</v>
      </c>
      <c r="B52" s="14" t="s">
        <v>157</v>
      </c>
      <c r="C52" s="406">
        <v>82453</v>
      </c>
      <c r="D52" s="352">
        <f>C52/'- 3 -'!E52</f>
        <v>0.00753740944847371</v>
      </c>
      <c r="E52" s="406">
        <v>1257188</v>
      </c>
      <c r="F52" s="352">
        <f>E52/'- 3 -'!E52</f>
        <v>0.11492536001974175</v>
      </c>
      <c r="G52" s="406">
        <v>117176</v>
      </c>
      <c r="H52" s="352">
        <f>G52/'- 3 -'!E52</f>
        <v>0.010711599208450334</v>
      </c>
    </row>
    <row r="53" spans="1:8" ht="12.75">
      <c r="A53" s="11">
        <v>47</v>
      </c>
      <c r="B53" s="12" t="s">
        <v>158</v>
      </c>
      <c r="C53" s="405">
        <v>78745</v>
      </c>
      <c r="D53" s="351">
        <f>C53/'- 3 -'!E53</f>
        <v>0.008550655016333602</v>
      </c>
      <c r="E53" s="405">
        <v>798047</v>
      </c>
      <c r="F53" s="351">
        <f>E53/'- 3 -'!E53</f>
        <v>0.08665724279408193</v>
      </c>
      <c r="G53" s="405">
        <v>77344</v>
      </c>
      <c r="H53" s="351">
        <f>G53/'- 3 -'!E53</f>
        <v>0.00839852513281232</v>
      </c>
    </row>
    <row r="54" spans="1:8" ht="12.75">
      <c r="A54" s="13">
        <v>48</v>
      </c>
      <c r="B54" s="14" t="s">
        <v>159</v>
      </c>
      <c r="C54" s="406">
        <v>98430</v>
      </c>
      <c r="D54" s="352">
        <f>C54/'- 3 -'!E54</f>
        <v>0.0016572297620685782</v>
      </c>
      <c r="E54" s="406">
        <v>8294320</v>
      </c>
      <c r="F54" s="352">
        <f>E54/'- 3 -'!E54</f>
        <v>0.13964841979193995</v>
      </c>
      <c r="G54" s="406">
        <v>638712</v>
      </c>
      <c r="H54" s="352">
        <f>G54/'- 3 -'!E54</f>
        <v>0.010753759380172161</v>
      </c>
    </row>
    <row r="55" spans="1:8" ht="12.75">
      <c r="A55" s="11">
        <v>49</v>
      </c>
      <c r="B55" s="12" t="s">
        <v>160</v>
      </c>
      <c r="C55" s="405">
        <v>126814</v>
      </c>
      <c r="D55" s="351">
        <f>C55/'- 3 -'!E55</f>
        <v>0.003500880078748959</v>
      </c>
      <c r="E55" s="405">
        <v>3142545</v>
      </c>
      <c r="F55" s="351">
        <f>E55/'- 3 -'!E55</f>
        <v>0.08675440556304626</v>
      </c>
      <c r="G55" s="405">
        <v>329320</v>
      </c>
      <c r="H55" s="351">
        <f>G55/'- 3 -'!E55</f>
        <v>0.00909134502131947</v>
      </c>
    </row>
    <row r="56" spans="1:8" ht="12.75">
      <c r="A56" s="13">
        <v>50</v>
      </c>
      <c r="B56" s="14" t="s">
        <v>343</v>
      </c>
      <c r="C56" s="406">
        <v>102906</v>
      </c>
      <c r="D56" s="352">
        <f>C56/'- 3 -'!E56</f>
        <v>0.007139191124775378</v>
      </c>
      <c r="E56" s="406">
        <v>1440841</v>
      </c>
      <c r="F56" s="352">
        <f>E56/'- 3 -'!E56</f>
        <v>0.09995956775515986</v>
      </c>
      <c r="G56" s="406">
        <v>176834</v>
      </c>
      <c r="H56" s="352">
        <f>G56/'- 3 -'!E56</f>
        <v>0.012268008895093864</v>
      </c>
    </row>
    <row r="57" spans="1:8" ht="12.75">
      <c r="A57" s="11">
        <v>2264</v>
      </c>
      <c r="B57" s="12" t="s">
        <v>161</v>
      </c>
      <c r="C57" s="405">
        <v>0</v>
      </c>
      <c r="D57" s="351">
        <f>C57/'- 3 -'!E57</f>
        <v>0</v>
      </c>
      <c r="E57" s="405">
        <v>302783</v>
      </c>
      <c r="F57" s="351">
        <f>E57/'- 3 -'!E57</f>
        <v>0.14382347358329592</v>
      </c>
      <c r="G57" s="405">
        <v>10474</v>
      </c>
      <c r="H57" s="351">
        <f>G57/'- 3 -'!E57</f>
        <v>0.004975203569260631</v>
      </c>
    </row>
    <row r="58" spans="1:8" ht="12.75">
      <c r="A58" s="13">
        <v>2309</v>
      </c>
      <c r="B58" s="14" t="s">
        <v>162</v>
      </c>
      <c r="C58" s="406">
        <v>0</v>
      </c>
      <c r="D58" s="352">
        <f>C58/'- 3 -'!E58</f>
        <v>0</v>
      </c>
      <c r="E58" s="406">
        <v>320367</v>
      </c>
      <c r="F58" s="352">
        <f>E58/'- 3 -'!E58</f>
        <v>0.1414315191680639</v>
      </c>
      <c r="G58" s="406">
        <v>13156</v>
      </c>
      <c r="H58" s="352">
        <f>G58/'- 3 -'!E58</f>
        <v>0.0058079423479167605</v>
      </c>
    </row>
    <row r="59" spans="1:8" ht="12.75">
      <c r="A59" s="11">
        <v>2312</v>
      </c>
      <c r="B59" s="12" t="s">
        <v>163</v>
      </c>
      <c r="C59" s="405">
        <v>0</v>
      </c>
      <c r="D59" s="351">
        <f>C59/'- 3 -'!E59</f>
        <v>0</v>
      </c>
      <c r="E59" s="405">
        <v>254197</v>
      </c>
      <c r="F59" s="351">
        <f>E59/'- 3 -'!E59</f>
        <v>0.12619037099513353</v>
      </c>
      <c r="G59" s="405">
        <v>16222</v>
      </c>
      <c r="H59" s="351">
        <f>G59/'- 3 -'!E59</f>
        <v>0.008053046252642856</v>
      </c>
    </row>
    <row r="60" spans="1:8" ht="12.75">
      <c r="A60" s="13">
        <v>2355</v>
      </c>
      <c r="B60" s="14" t="s">
        <v>164</v>
      </c>
      <c r="C60" s="406">
        <v>134790</v>
      </c>
      <c r="D60" s="352">
        <f>C60/'- 3 -'!E60</f>
        <v>0.005418670631588249</v>
      </c>
      <c r="E60" s="406">
        <v>2705032</v>
      </c>
      <c r="F60" s="352">
        <f>E60/'- 3 -'!E60</f>
        <v>0.10874454674609707</v>
      </c>
      <c r="G60" s="406">
        <v>173066</v>
      </c>
      <c r="H60" s="352">
        <f>G60/'- 3 -'!E60</f>
        <v>0.006957397815316062</v>
      </c>
    </row>
    <row r="61" spans="1:8" ht="12.75">
      <c r="A61" s="11">
        <v>2439</v>
      </c>
      <c r="B61" s="12" t="s">
        <v>165</v>
      </c>
      <c r="C61" s="405">
        <v>0</v>
      </c>
      <c r="D61" s="351">
        <f>C61/'- 3 -'!E61</f>
        <v>0</v>
      </c>
      <c r="E61" s="405">
        <v>134968.92</v>
      </c>
      <c r="F61" s="351">
        <f>E61/'- 3 -'!E61</f>
        <v>0.0966007977842547</v>
      </c>
      <c r="G61" s="405">
        <v>13969.11</v>
      </c>
      <c r="H61" s="351">
        <f>G61/'- 3 -'!E61</f>
        <v>0.00999805859257087</v>
      </c>
    </row>
    <row r="62" spans="1:8" ht="12.75">
      <c r="A62" s="13">
        <v>2460</v>
      </c>
      <c r="B62" s="14" t="s">
        <v>166</v>
      </c>
      <c r="C62" s="406">
        <v>0</v>
      </c>
      <c r="D62" s="352">
        <f>C62/'- 3 -'!E62</f>
        <v>0</v>
      </c>
      <c r="E62" s="406">
        <v>373642</v>
      </c>
      <c r="F62" s="352">
        <f>E62/'- 3 -'!E62</f>
        <v>0.11307011374736875</v>
      </c>
      <c r="G62" s="406">
        <v>39404</v>
      </c>
      <c r="H62" s="352">
        <f>G62/'- 3 -'!E62</f>
        <v>0.01192428785334978</v>
      </c>
    </row>
    <row r="63" spans="1:8" ht="12.75">
      <c r="A63" s="11">
        <v>3000</v>
      </c>
      <c r="B63" s="12" t="s">
        <v>366</v>
      </c>
      <c r="C63" s="405">
        <v>0</v>
      </c>
      <c r="D63" s="351">
        <f>C63/'- 3 -'!E63</f>
        <v>0</v>
      </c>
      <c r="E63" s="405">
        <v>533024</v>
      </c>
      <c r="F63" s="351">
        <f>E63/'- 3 -'!E63</f>
        <v>0.09242832792024817</v>
      </c>
      <c r="G63" s="405">
        <v>31623</v>
      </c>
      <c r="H63" s="351">
        <f>G63/'- 3 -'!E63</f>
        <v>0.005483544856933286</v>
      </c>
    </row>
    <row r="64" spans="1:8" ht="4.5" customHeight="1">
      <c r="A64" s="15"/>
      <c r="B64" s="15"/>
      <c r="C64" s="412"/>
      <c r="D64" s="194"/>
      <c r="E64" s="412"/>
      <c r="F64" s="194"/>
      <c r="G64" s="412"/>
      <c r="H64" s="194"/>
    </row>
    <row r="65" spans="1:8" ht="12.75">
      <c r="A65" s="17"/>
      <c r="B65" s="18" t="s">
        <v>167</v>
      </c>
      <c r="C65" s="407">
        <f>SUM(C11:C63)</f>
        <v>6214126.899999999</v>
      </c>
      <c r="D65" s="100">
        <f>C65/'- 3 -'!E65</f>
        <v>0.00478907977214615</v>
      </c>
      <c r="E65" s="407">
        <f>SUM(E11:E63)</f>
        <v>123004319.96000001</v>
      </c>
      <c r="F65" s="100">
        <f>E65/'- 3 -'!E65</f>
        <v>0.09479650320739813</v>
      </c>
      <c r="G65" s="407">
        <f>SUM(G11:G63)</f>
        <v>15788672.799999999</v>
      </c>
      <c r="H65" s="100">
        <f>G65/'- 3 -'!E65</f>
        <v>0.012167954525601033</v>
      </c>
    </row>
    <row r="66" spans="1:8" ht="4.5" customHeight="1">
      <c r="A66" s="15"/>
      <c r="B66" s="15"/>
      <c r="C66" s="412"/>
      <c r="D66" s="194"/>
      <c r="E66" s="412"/>
      <c r="F66" s="194"/>
      <c r="G66" s="412"/>
      <c r="H66" s="194"/>
    </row>
    <row r="67" spans="1:8" ht="12.75">
      <c r="A67" s="13">
        <v>2155</v>
      </c>
      <c r="B67" s="14" t="s">
        <v>168</v>
      </c>
      <c r="C67" s="406">
        <v>0</v>
      </c>
      <c r="D67" s="352">
        <f>C67/'- 3 -'!E67</f>
        <v>0</v>
      </c>
      <c r="E67" s="406">
        <v>103816.49</v>
      </c>
      <c r="F67" s="352">
        <f>E67/'- 3 -'!E67</f>
        <v>0.08675974385939493</v>
      </c>
      <c r="G67" s="406">
        <v>40088.02</v>
      </c>
      <c r="H67" s="352">
        <f>G67/'- 3 -'!E67</f>
        <v>0.03350167537960781</v>
      </c>
    </row>
    <row r="68" spans="1:8" ht="12.75">
      <c r="A68" s="11">
        <v>2408</v>
      </c>
      <c r="B68" s="12" t="s">
        <v>170</v>
      </c>
      <c r="C68" s="405">
        <v>0</v>
      </c>
      <c r="D68" s="351">
        <f>C68/'- 3 -'!E68</f>
        <v>0</v>
      </c>
      <c r="E68" s="405">
        <v>258844</v>
      </c>
      <c r="F68" s="351">
        <f>E68/'- 3 -'!E68</f>
        <v>0.12073375735333902</v>
      </c>
      <c r="G68" s="405">
        <v>307</v>
      </c>
      <c r="H68" s="351">
        <f>G68/'- 3 -'!E68</f>
        <v>0.00014319537446290072</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15.83203125" style="79" customWidth="1"/>
    <col min="5" max="5" width="16.83203125" style="79" customWidth="1"/>
    <col min="6" max="6" width="15.83203125" style="79" customWidth="1"/>
    <col min="7" max="7" width="16.83203125" style="79" customWidth="1"/>
    <col min="8" max="16384" width="15.83203125" style="79" customWidth="1"/>
  </cols>
  <sheetData>
    <row r="1" spans="1:8" ht="6.75" customHeight="1">
      <c r="A1" s="15"/>
      <c r="B1" s="77"/>
      <c r="C1" s="77"/>
      <c r="D1" s="77"/>
      <c r="E1" s="139"/>
      <c r="F1" s="139"/>
      <c r="G1" s="139"/>
      <c r="H1" s="139"/>
    </row>
    <row r="2" spans="1:8" ht="12.75">
      <c r="A2" s="6"/>
      <c r="B2" s="80"/>
      <c r="C2" s="196" t="s">
        <v>0</v>
      </c>
      <c r="D2" s="195"/>
      <c r="E2" s="197"/>
      <c r="F2" s="196"/>
      <c r="G2" s="211"/>
      <c r="H2" s="216" t="s">
        <v>431</v>
      </c>
    </row>
    <row r="3" spans="1:8" ht="12.75">
      <c r="A3" s="7"/>
      <c r="B3" s="83"/>
      <c r="C3" s="199" t="str">
        <f>YEAR</f>
        <v>OPERATING FUND ACTUAL 2001/2002</v>
      </c>
      <c r="D3" s="198"/>
      <c r="E3" s="200"/>
      <c r="F3" s="199"/>
      <c r="G3" s="212"/>
      <c r="H3" s="217"/>
    </row>
    <row r="4" spans="1:8" ht="12.75">
      <c r="A4" s="8"/>
      <c r="E4" s="139"/>
      <c r="F4" s="139"/>
      <c r="G4" s="139"/>
      <c r="H4" s="139"/>
    </row>
    <row r="5" spans="1:8" ht="12.75">
      <c r="A5" s="8"/>
      <c r="C5" s="15"/>
      <c r="E5" s="139"/>
      <c r="F5" s="139"/>
      <c r="G5" s="139"/>
      <c r="H5" s="139"/>
    </row>
    <row r="6" spans="1:8" ht="16.5">
      <c r="A6" s="8"/>
      <c r="C6" s="331" t="s">
        <v>335</v>
      </c>
      <c r="D6" s="219"/>
      <c r="E6" s="171"/>
      <c r="F6" s="153"/>
      <c r="G6" s="139"/>
      <c r="H6" s="150"/>
    </row>
    <row r="7" spans="3:8" ht="12.75">
      <c r="C7" s="222"/>
      <c r="D7" s="63"/>
      <c r="E7" s="222"/>
      <c r="F7" s="63"/>
      <c r="G7" s="178"/>
      <c r="H7" s="139"/>
    </row>
    <row r="8" spans="1:8" ht="12.75">
      <c r="A8" s="91"/>
      <c r="B8" s="43"/>
      <c r="C8" s="65" t="s">
        <v>83</v>
      </c>
      <c r="D8" s="67"/>
      <c r="E8" s="65" t="s">
        <v>84</v>
      </c>
      <c r="F8" s="67"/>
      <c r="G8" s="139"/>
      <c r="H8" s="139"/>
    </row>
    <row r="9" spans="1:6" ht="12.75">
      <c r="A9" s="49" t="s">
        <v>101</v>
      </c>
      <c r="B9" s="50" t="s">
        <v>102</v>
      </c>
      <c r="C9" s="130" t="s">
        <v>103</v>
      </c>
      <c r="D9" s="130" t="s">
        <v>104</v>
      </c>
      <c r="E9" s="221" t="s">
        <v>103</v>
      </c>
      <c r="F9" s="130" t="s">
        <v>104</v>
      </c>
    </row>
    <row r="10" spans="1:2" ht="4.5" customHeight="1">
      <c r="A10" s="74"/>
      <c r="B10" s="74"/>
    </row>
    <row r="11" spans="1:6" ht="12.75">
      <c r="A11" s="11">
        <v>1</v>
      </c>
      <c r="B11" s="12" t="s">
        <v>116</v>
      </c>
      <c r="C11" s="405">
        <v>1633090</v>
      </c>
      <c r="D11" s="351">
        <f>C11/'- 3 -'!E11</f>
        <v>0.006775362773881196</v>
      </c>
      <c r="E11" s="405">
        <v>673582</v>
      </c>
      <c r="F11" s="351">
        <f>E11/'- 3 -'!E11</f>
        <v>0.002794556581668153</v>
      </c>
    </row>
    <row r="12" spans="1:6" ht="12.75">
      <c r="A12" s="13">
        <v>2</v>
      </c>
      <c r="B12" s="14" t="s">
        <v>117</v>
      </c>
      <c r="C12" s="406">
        <v>442947</v>
      </c>
      <c r="D12" s="352">
        <f>C12/'- 3 -'!E12</f>
        <v>0.007371198357121078</v>
      </c>
      <c r="E12" s="406">
        <v>194995</v>
      </c>
      <c r="F12" s="352">
        <f>E12/'- 3 -'!E12</f>
        <v>0.003244963446296791</v>
      </c>
    </row>
    <row r="13" spans="1:6" ht="12.75">
      <c r="A13" s="11">
        <v>3</v>
      </c>
      <c r="B13" s="12" t="s">
        <v>118</v>
      </c>
      <c r="C13" s="405">
        <v>122165</v>
      </c>
      <c r="D13" s="351">
        <f>C13/'- 3 -'!E13</f>
        <v>0.00291004849882326</v>
      </c>
      <c r="E13" s="405">
        <v>71732</v>
      </c>
      <c r="F13" s="351">
        <f>E13/'- 3 -'!E13</f>
        <v>0.0017087021562443426</v>
      </c>
    </row>
    <row r="14" spans="1:6" ht="12.75">
      <c r="A14" s="13">
        <v>4</v>
      </c>
      <c r="B14" s="14" t="s">
        <v>119</v>
      </c>
      <c r="C14" s="406">
        <v>122755</v>
      </c>
      <c r="D14" s="352">
        <f>C14/'- 3 -'!E14</f>
        <v>0.0029532803887246536</v>
      </c>
      <c r="E14" s="406">
        <v>15760</v>
      </c>
      <c r="F14" s="352">
        <f>E14/'- 3 -'!E14</f>
        <v>0.0003791592923001144</v>
      </c>
    </row>
    <row r="15" spans="1:6" ht="12.75">
      <c r="A15" s="11">
        <v>5</v>
      </c>
      <c r="B15" s="12" t="s">
        <v>120</v>
      </c>
      <c r="C15" s="405">
        <v>291440</v>
      </c>
      <c r="D15" s="351">
        <f>C15/'- 3 -'!E15</f>
        <v>0.00579891517466904</v>
      </c>
      <c r="E15" s="405">
        <v>137099</v>
      </c>
      <c r="F15" s="351">
        <f>E15/'- 3 -'!E15</f>
        <v>0.0027279216014684006</v>
      </c>
    </row>
    <row r="16" spans="1:6" ht="12.75">
      <c r="A16" s="13">
        <v>6</v>
      </c>
      <c r="B16" s="14" t="s">
        <v>121</v>
      </c>
      <c r="C16" s="406">
        <v>90120</v>
      </c>
      <c r="D16" s="352">
        <f>C16/'- 3 -'!E16</f>
        <v>0.0015560413954666258</v>
      </c>
      <c r="E16" s="406">
        <v>251653</v>
      </c>
      <c r="F16" s="352">
        <f>E16/'- 3 -'!E16</f>
        <v>0.0043451230059183615</v>
      </c>
    </row>
    <row r="17" spans="1:6" ht="12.75">
      <c r="A17" s="11">
        <v>9</v>
      </c>
      <c r="B17" s="12" t="s">
        <v>122</v>
      </c>
      <c r="C17" s="405">
        <v>166216</v>
      </c>
      <c r="D17" s="351">
        <f>C17/'- 3 -'!E17</f>
        <v>0.002038917695540188</v>
      </c>
      <c r="E17" s="405">
        <v>160647</v>
      </c>
      <c r="F17" s="351">
        <f>E17/'- 3 -'!E17</f>
        <v>0.0019706045809996906</v>
      </c>
    </row>
    <row r="18" spans="1:6" ht="12.75">
      <c r="A18" s="13">
        <v>10</v>
      </c>
      <c r="B18" s="14" t="s">
        <v>123</v>
      </c>
      <c r="C18" s="406">
        <v>334643.68</v>
      </c>
      <c r="D18" s="352">
        <f>C18/'- 3 -'!E18</f>
        <v>0.005584747027082632</v>
      </c>
      <c r="E18" s="406">
        <v>126046.31</v>
      </c>
      <c r="F18" s="352">
        <f>E18/'- 3 -'!E18</f>
        <v>0.00210354116069736</v>
      </c>
    </row>
    <row r="19" spans="1:6" ht="12.75">
      <c r="A19" s="11">
        <v>11</v>
      </c>
      <c r="B19" s="12" t="s">
        <v>124</v>
      </c>
      <c r="C19" s="405">
        <v>136574</v>
      </c>
      <c r="D19" s="351">
        <f>C19/'- 3 -'!E19</f>
        <v>0.004224627542570839</v>
      </c>
      <c r="E19" s="405">
        <v>80029</v>
      </c>
      <c r="F19" s="351">
        <f>E19/'- 3 -'!E19</f>
        <v>0.002475527681728599</v>
      </c>
    </row>
    <row r="20" spans="1:6" ht="12.75">
      <c r="A20" s="13">
        <v>12</v>
      </c>
      <c r="B20" s="14" t="s">
        <v>125</v>
      </c>
      <c r="C20" s="406">
        <v>98119</v>
      </c>
      <c r="D20" s="352">
        <f>C20/'- 3 -'!E20</f>
        <v>0.001894248503302555</v>
      </c>
      <c r="E20" s="406">
        <v>162565</v>
      </c>
      <c r="F20" s="352">
        <f>E20/'- 3 -'!E20</f>
        <v>0.003138418735814469</v>
      </c>
    </row>
    <row r="21" spans="1:6" ht="12.75">
      <c r="A21" s="11">
        <v>13</v>
      </c>
      <c r="B21" s="12" t="s">
        <v>126</v>
      </c>
      <c r="C21" s="405">
        <v>54628</v>
      </c>
      <c r="D21" s="351">
        <f>C21/'- 3 -'!E21</f>
        <v>0.0027634067441025564</v>
      </c>
      <c r="E21" s="405">
        <v>22682</v>
      </c>
      <c r="F21" s="351">
        <f>E21/'- 3 -'!E21</f>
        <v>0.0011473894663859958</v>
      </c>
    </row>
    <row r="22" spans="1:6" ht="12.75">
      <c r="A22" s="13">
        <v>14</v>
      </c>
      <c r="B22" s="14" t="s">
        <v>127</v>
      </c>
      <c r="C22" s="406">
        <v>30000</v>
      </c>
      <c r="D22" s="352">
        <f>C22/'- 3 -'!E22</f>
        <v>0.0013046153056908419</v>
      </c>
      <c r="E22" s="406">
        <v>89638</v>
      </c>
      <c r="F22" s="352">
        <f>E22/'- 3 -'!E22</f>
        <v>0.003898103559050523</v>
      </c>
    </row>
    <row r="23" spans="1:6" ht="12.75">
      <c r="A23" s="11">
        <v>15</v>
      </c>
      <c r="B23" s="12" t="s">
        <v>128</v>
      </c>
      <c r="C23" s="405">
        <v>68464</v>
      </c>
      <c r="D23" s="351">
        <f>C23/'- 3 -'!E23</f>
        <v>0.0021403438974673234</v>
      </c>
      <c r="E23" s="405">
        <v>77657</v>
      </c>
      <c r="F23" s="351">
        <f>E23/'- 3 -'!E23</f>
        <v>0.002427738461755374</v>
      </c>
    </row>
    <row r="24" spans="1:6" ht="12.75">
      <c r="A24" s="13">
        <v>16</v>
      </c>
      <c r="B24" s="14" t="s">
        <v>129</v>
      </c>
      <c r="C24" s="406">
        <v>17114</v>
      </c>
      <c r="D24" s="352">
        <f>C24/'- 3 -'!E24</f>
        <v>0.0027692935731773935</v>
      </c>
      <c r="E24" s="406">
        <v>29157</v>
      </c>
      <c r="F24" s="352">
        <f>E24/'- 3 -'!E24</f>
        <v>0.004718025751614658</v>
      </c>
    </row>
    <row r="25" spans="1:6" ht="12.75">
      <c r="A25" s="11">
        <v>17</v>
      </c>
      <c r="B25" s="12" t="s">
        <v>130</v>
      </c>
      <c r="C25" s="405">
        <v>13017</v>
      </c>
      <c r="D25" s="351">
        <f>C25/'- 3 -'!E25</f>
        <v>0.003126902141751408</v>
      </c>
      <c r="E25" s="405">
        <v>23337</v>
      </c>
      <c r="F25" s="351">
        <f>E25/'- 3 -'!E25</f>
        <v>0.005605939562268772</v>
      </c>
    </row>
    <row r="26" spans="1:6" ht="12.75">
      <c r="A26" s="13">
        <v>18</v>
      </c>
      <c r="B26" s="14" t="s">
        <v>131</v>
      </c>
      <c r="C26" s="406">
        <v>198290</v>
      </c>
      <c r="D26" s="352">
        <f>C26/'- 3 -'!E26</f>
        <v>0.020646877296836896</v>
      </c>
      <c r="E26" s="406">
        <v>5939</v>
      </c>
      <c r="F26" s="352">
        <f>E26/'- 3 -'!E26</f>
        <v>0.000618396309778175</v>
      </c>
    </row>
    <row r="27" spans="1:6" ht="12.75">
      <c r="A27" s="11">
        <v>19</v>
      </c>
      <c r="B27" s="12" t="s">
        <v>132</v>
      </c>
      <c r="C27" s="405">
        <v>37036.14</v>
      </c>
      <c r="D27" s="351">
        <f>C27/'- 3 -'!E27</f>
        <v>0.0025195612791253496</v>
      </c>
      <c r="E27" s="405">
        <v>0</v>
      </c>
      <c r="F27" s="351">
        <f>E27/'- 3 -'!E27</f>
        <v>0</v>
      </c>
    </row>
    <row r="28" spans="1:6" ht="12.75">
      <c r="A28" s="13">
        <v>20</v>
      </c>
      <c r="B28" s="14" t="s">
        <v>133</v>
      </c>
      <c r="C28" s="406">
        <v>69161</v>
      </c>
      <c r="D28" s="352">
        <f>C28/'- 3 -'!E28</f>
        <v>0.00914936842357312</v>
      </c>
      <c r="E28" s="406">
        <v>6843</v>
      </c>
      <c r="F28" s="352">
        <f>E28/'- 3 -'!E28</f>
        <v>0.0009052663802216692</v>
      </c>
    </row>
    <row r="29" spans="1:6" ht="12.75">
      <c r="A29" s="11">
        <v>21</v>
      </c>
      <c r="B29" s="12" t="s">
        <v>134</v>
      </c>
      <c r="C29" s="405">
        <v>55339</v>
      </c>
      <c r="D29" s="351">
        <f>C29/'- 3 -'!E29</f>
        <v>0.0024809580562566284</v>
      </c>
      <c r="E29" s="405">
        <v>73958</v>
      </c>
      <c r="F29" s="351">
        <f>E29/'- 3 -'!E29</f>
        <v>0.0033156850670345997</v>
      </c>
    </row>
    <row r="30" spans="1:6" ht="12.75">
      <c r="A30" s="13">
        <v>22</v>
      </c>
      <c r="B30" s="14" t="s">
        <v>135</v>
      </c>
      <c r="C30" s="406">
        <v>86468</v>
      </c>
      <c r="D30" s="352">
        <f>C30/'- 3 -'!E30</f>
        <v>0.007345415023849153</v>
      </c>
      <c r="E30" s="406">
        <v>12504</v>
      </c>
      <c r="F30" s="352">
        <f>E30/'- 3 -'!E30</f>
        <v>0.00106220878773893</v>
      </c>
    </row>
    <row r="31" spans="1:6" ht="12.75">
      <c r="A31" s="11">
        <v>23</v>
      </c>
      <c r="B31" s="12" t="s">
        <v>136</v>
      </c>
      <c r="C31" s="405">
        <v>30220</v>
      </c>
      <c r="D31" s="351">
        <f>C31/'- 3 -'!E31</f>
        <v>0.0029878441606926262</v>
      </c>
      <c r="E31" s="405">
        <v>0</v>
      </c>
      <c r="F31" s="351">
        <f>E31/'- 3 -'!E31</f>
        <v>0</v>
      </c>
    </row>
    <row r="32" spans="1:6" ht="12.75">
      <c r="A32" s="13">
        <v>24</v>
      </c>
      <c r="B32" s="14" t="s">
        <v>137</v>
      </c>
      <c r="C32" s="406">
        <v>44021</v>
      </c>
      <c r="D32" s="352">
        <f>C32/'- 3 -'!E32</f>
        <v>0.0019365923391959892</v>
      </c>
      <c r="E32" s="406">
        <v>27272</v>
      </c>
      <c r="F32" s="352">
        <f>E32/'- 3 -'!E32</f>
        <v>0.0011997625286693401</v>
      </c>
    </row>
    <row r="33" spans="1:6" ht="12.75">
      <c r="A33" s="11">
        <v>25</v>
      </c>
      <c r="B33" s="12" t="s">
        <v>138</v>
      </c>
      <c r="C33" s="405">
        <v>77552</v>
      </c>
      <c r="D33" s="351">
        <f>C33/'- 3 -'!E33</f>
        <v>0.007380108916369106</v>
      </c>
      <c r="E33" s="405">
        <v>21231</v>
      </c>
      <c r="F33" s="351">
        <f>E33/'- 3 -'!E33</f>
        <v>0.0020204133020867614</v>
      </c>
    </row>
    <row r="34" spans="1:6" ht="12.75">
      <c r="A34" s="13">
        <v>26</v>
      </c>
      <c r="B34" s="14" t="s">
        <v>139</v>
      </c>
      <c r="C34" s="406">
        <v>12703</v>
      </c>
      <c r="D34" s="352">
        <f>C34/'- 3 -'!E34</f>
        <v>0.0007831993957348156</v>
      </c>
      <c r="E34" s="406">
        <v>12806</v>
      </c>
      <c r="F34" s="352">
        <f>E34/'- 3 -'!E34</f>
        <v>0.0007895498277399077</v>
      </c>
    </row>
    <row r="35" spans="1:6" ht="12.75">
      <c r="A35" s="11">
        <v>28</v>
      </c>
      <c r="B35" s="12" t="s">
        <v>140</v>
      </c>
      <c r="C35" s="405">
        <v>26073</v>
      </c>
      <c r="D35" s="351">
        <f>C35/'- 3 -'!E35</f>
        <v>0.004093363156340474</v>
      </c>
      <c r="E35" s="405">
        <v>9465</v>
      </c>
      <c r="F35" s="351">
        <f>E35/'- 3 -'!E35</f>
        <v>0.0014859694808714988</v>
      </c>
    </row>
    <row r="36" spans="1:6" ht="12.75">
      <c r="A36" s="13">
        <v>30</v>
      </c>
      <c r="B36" s="14" t="s">
        <v>141</v>
      </c>
      <c r="C36" s="406">
        <v>41777</v>
      </c>
      <c r="D36" s="352">
        <f>C36/'- 3 -'!E36</f>
        <v>0.004521835169978227</v>
      </c>
      <c r="E36" s="406">
        <v>16569</v>
      </c>
      <c r="F36" s="352">
        <f>E36/'- 3 -'!E36</f>
        <v>0.001793386000224268</v>
      </c>
    </row>
    <row r="37" spans="1:6" ht="12.75">
      <c r="A37" s="11">
        <v>31</v>
      </c>
      <c r="B37" s="12" t="s">
        <v>142</v>
      </c>
      <c r="C37" s="405">
        <v>59937</v>
      </c>
      <c r="D37" s="351">
        <f>C37/'- 3 -'!E37</f>
        <v>0.0055708025517300095</v>
      </c>
      <c r="E37" s="405">
        <v>23913</v>
      </c>
      <c r="F37" s="351">
        <f>E37/'- 3 -'!E37</f>
        <v>0.002222577062908049</v>
      </c>
    </row>
    <row r="38" spans="1:6" ht="12.75">
      <c r="A38" s="13">
        <v>32</v>
      </c>
      <c r="B38" s="14" t="s">
        <v>143</v>
      </c>
      <c r="C38" s="406">
        <v>20739</v>
      </c>
      <c r="D38" s="352">
        <f>C38/'- 3 -'!E38</f>
        <v>0.003269397255567776</v>
      </c>
      <c r="E38" s="406">
        <v>12620</v>
      </c>
      <c r="F38" s="352">
        <f>E38/'- 3 -'!E38</f>
        <v>0.0019894784399086423</v>
      </c>
    </row>
    <row r="39" spans="1:6" ht="12.75">
      <c r="A39" s="11">
        <v>33</v>
      </c>
      <c r="B39" s="12" t="s">
        <v>144</v>
      </c>
      <c r="C39" s="405">
        <v>43550</v>
      </c>
      <c r="D39" s="351">
        <f>C39/'- 3 -'!E39</f>
        <v>0.003349735886208972</v>
      </c>
      <c r="E39" s="405">
        <v>36647</v>
      </c>
      <c r="F39" s="351">
        <f>E39/'- 3 -'!E39</f>
        <v>0.0028187777502158484</v>
      </c>
    </row>
    <row r="40" spans="1:6" ht="12.75">
      <c r="A40" s="13">
        <v>34</v>
      </c>
      <c r="B40" s="14" t="s">
        <v>145</v>
      </c>
      <c r="C40" s="406">
        <v>25066.9</v>
      </c>
      <c r="D40" s="352">
        <f>C40/'- 3 -'!E40</f>
        <v>0.004330372776584101</v>
      </c>
      <c r="E40" s="406">
        <v>0</v>
      </c>
      <c r="F40" s="352">
        <f>E40/'- 3 -'!E40</f>
        <v>0</v>
      </c>
    </row>
    <row r="41" spans="1:6" ht="12.75">
      <c r="A41" s="11">
        <v>35</v>
      </c>
      <c r="B41" s="12" t="s">
        <v>146</v>
      </c>
      <c r="C41" s="405">
        <v>76999</v>
      </c>
      <c r="D41" s="351">
        <f>C41/'- 3 -'!E41</f>
        <v>0.005532014083199266</v>
      </c>
      <c r="E41" s="405">
        <v>61814</v>
      </c>
      <c r="F41" s="351">
        <f>E41/'- 3 -'!E41</f>
        <v>0.004441043630941693</v>
      </c>
    </row>
    <row r="42" spans="1:6" ht="12.75">
      <c r="A42" s="13">
        <v>36</v>
      </c>
      <c r="B42" s="14" t="s">
        <v>147</v>
      </c>
      <c r="C42" s="406">
        <v>20589</v>
      </c>
      <c r="D42" s="352">
        <f>C42/'- 3 -'!E42</f>
        <v>0.0025692346084010393</v>
      </c>
      <c r="E42" s="406">
        <v>0</v>
      </c>
      <c r="F42" s="352">
        <f>E42/'- 3 -'!E42</f>
        <v>0</v>
      </c>
    </row>
    <row r="43" spans="1:6" ht="12.75">
      <c r="A43" s="11">
        <v>37</v>
      </c>
      <c r="B43" s="12" t="s">
        <v>148</v>
      </c>
      <c r="C43" s="405">
        <v>8123</v>
      </c>
      <c r="D43" s="351">
        <f>C43/'- 3 -'!E43</f>
        <v>0.0011819726675361278</v>
      </c>
      <c r="E43" s="405">
        <v>9718</v>
      </c>
      <c r="F43" s="351">
        <f>E43/'- 3 -'!E43</f>
        <v>0.0014140601234908397</v>
      </c>
    </row>
    <row r="44" spans="1:6" ht="12.75">
      <c r="A44" s="13">
        <v>38</v>
      </c>
      <c r="B44" s="14" t="s">
        <v>149</v>
      </c>
      <c r="C44" s="406">
        <v>60534</v>
      </c>
      <c r="D44" s="352">
        <f>C44/'- 3 -'!E44</f>
        <v>0.00677592501551431</v>
      </c>
      <c r="E44" s="406">
        <v>21381</v>
      </c>
      <c r="F44" s="352">
        <f>E44/'- 3 -'!E44</f>
        <v>0.0023933005047859293</v>
      </c>
    </row>
    <row r="45" spans="1:6" ht="12.75">
      <c r="A45" s="11">
        <v>39</v>
      </c>
      <c r="B45" s="12" t="s">
        <v>150</v>
      </c>
      <c r="C45" s="405">
        <v>24675</v>
      </c>
      <c r="D45" s="351">
        <f>C45/'- 3 -'!E45</f>
        <v>0.0016535864128071423</v>
      </c>
      <c r="E45" s="405">
        <v>0</v>
      </c>
      <c r="F45" s="351">
        <f>E45/'- 3 -'!E45</f>
        <v>0</v>
      </c>
    </row>
    <row r="46" spans="1:6" ht="12.75">
      <c r="A46" s="13">
        <v>40</v>
      </c>
      <c r="B46" s="14" t="s">
        <v>151</v>
      </c>
      <c r="C46" s="406">
        <v>173071</v>
      </c>
      <c r="D46" s="352">
        <f>C46/'- 3 -'!E46</f>
        <v>0.003863264141787649</v>
      </c>
      <c r="E46" s="406">
        <v>62632</v>
      </c>
      <c r="F46" s="352">
        <f>E46/'- 3 -'!E46</f>
        <v>0.0013980618343248958</v>
      </c>
    </row>
    <row r="47" spans="1:6" ht="12.75">
      <c r="A47" s="11">
        <v>41</v>
      </c>
      <c r="B47" s="12" t="s">
        <v>152</v>
      </c>
      <c r="C47" s="405">
        <v>45785</v>
      </c>
      <c r="D47" s="351">
        <f>C47/'- 3 -'!E47</f>
        <v>0.0037304011356519206</v>
      </c>
      <c r="E47" s="405">
        <v>19504</v>
      </c>
      <c r="F47" s="351">
        <f>E47/'- 3 -'!E47</f>
        <v>0.0015891174784264512</v>
      </c>
    </row>
    <row r="48" spans="1:6" ht="12.75">
      <c r="A48" s="13">
        <v>42</v>
      </c>
      <c r="B48" s="14" t="s">
        <v>153</v>
      </c>
      <c r="C48" s="406">
        <v>17505</v>
      </c>
      <c r="D48" s="352">
        <f>C48/'- 3 -'!E48</f>
        <v>0.0022647863182841807</v>
      </c>
      <c r="E48" s="406">
        <v>0</v>
      </c>
      <c r="F48" s="352">
        <f>E48/'- 3 -'!E48</f>
        <v>0</v>
      </c>
    </row>
    <row r="49" spans="1:6" ht="12.75">
      <c r="A49" s="11">
        <v>43</v>
      </c>
      <c r="B49" s="12" t="s">
        <v>154</v>
      </c>
      <c r="C49" s="405">
        <v>14408</v>
      </c>
      <c r="D49" s="351">
        <f>C49/'- 3 -'!E49</f>
        <v>0.0022659610439651175</v>
      </c>
      <c r="E49" s="405">
        <v>120429</v>
      </c>
      <c r="F49" s="351">
        <f>E49/'- 3 -'!E49</f>
        <v>0.01893999323734558</v>
      </c>
    </row>
    <row r="50" spans="1:6" ht="12.75">
      <c r="A50" s="13">
        <v>44</v>
      </c>
      <c r="B50" s="14" t="s">
        <v>155</v>
      </c>
      <c r="C50" s="406">
        <v>40618</v>
      </c>
      <c r="D50" s="352">
        <f>C50/'- 3 -'!E50</f>
        <v>0.004390634840094977</v>
      </c>
      <c r="E50" s="406">
        <v>5776</v>
      </c>
      <c r="F50" s="352">
        <f>E50/'- 3 -'!E50</f>
        <v>0.0006243612889947459</v>
      </c>
    </row>
    <row r="51" spans="1:6" ht="12.75">
      <c r="A51" s="11">
        <v>45</v>
      </c>
      <c r="B51" s="12" t="s">
        <v>156</v>
      </c>
      <c r="C51" s="405">
        <v>37434</v>
      </c>
      <c r="D51" s="351">
        <f>C51/'- 3 -'!E51</f>
        <v>0.003104132989634813</v>
      </c>
      <c r="E51" s="405">
        <v>1786</v>
      </c>
      <c r="F51" s="351">
        <f>E51/'- 3 -'!E51</f>
        <v>0.00014810016347405503</v>
      </c>
    </row>
    <row r="52" spans="1:6" ht="12.75">
      <c r="A52" s="13">
        <v>46</v>
      </c>
      <c r="B52" s="14" t="s">
        <v>157</v>
      </c>
      <c r="C52" s="406">
        <v>35933</v>
      </c>
      <c r="D52" s="352">
        <f>C52/'- 3 -'!E52</f>
        <v>0.0032848014470305</v>
      </c>
      <c r="E52" s="406">
        <v>6573</v>
      </c>
      <c r="F52" s="352">
        <f>E52/'- 3 -'!E52</f>
        <v>0.0006008682801695232</v>
      </c>
    </row>
    <row r="53" spans="1:6" ht="12.75">
      <c r="A53" s="11">
        <v>47</v>
      </c>
      <c r="B53" s="12" t="s">
        <v>158</v>
      </c>
      <c r="C53" s="405">
        <v>10693</v>
      </c>
      <c r="D53" s="351">
        <f>C53/'- 3 -'!E53</f>
        <v>0.001161116948246304</v>
      </c>
      <c r="E53" s="405">
        <v>13984</v>
      </c>
      <c r="F53" s="351">
        <f>E53/'- 3 -'!E53</f>
        <v>0.0015184755825564684</v>
      </c>
    </row>
    <row r="54" spans="1:6" ht="12.75">
      <c r="A54" s="13">
        <v>48</v>
      </c>
      <c r="B54" s="14" t="s">
        <v>159</v>
      </c>
      <c r="C54" s="406">
        <v>1747963</v>
      </c>
      <c r="D54" s="352">
        <f>C54/'- 3 -'!E54</f>
        <v>0.029429811100220242</v>
      </c>
      <c r="E54" s="406">
        <v>8602</v>
      </c>
      <c r="F54" s="352">
        <f>E54/'- 3 -'!E54</f>
        <v>0.00014482871495797938</v>
      </c>
    </row>
    <row r="55" spans="1:6" ht="12.75">
      <c r="A55" s="11">
        <v>49</v>
      </c>
      <c r="B55" s="12" t="s">
        <v>160</v>
      </c>
      <c r="C55" s="405">
        <v>160835</v>
      </c>
      <c r="D55" s="351">
        <f>C55/'- 3 -'!E55</f>
        <v>0.004440077968249474</v>
      </c>
      <c r="E55" s="405">
        <v>164868</v>
      </c>
      <c r="F55" s="351">
        <f>E55/'- 3 -'!E55</f>
        <v>0.004551414645253548</v>
      </c>
    </row>
    <row r="56" spans="1:6" ht="12.75">
      <c r="A56" s="13">
        <v>50</v>
      </c>
      <c r="B56" s="14" t="s">
        <v>343</v>
      </c>
      <c r="C56" s="406">
        <v>55179</v>
      </c>
      <c r="D56" s="352">
        <f>C56/'- 3 -'!E56</f>
        <v>0.0038280899760361944</v>
      </c>
      <c r="E56" s="406">
        <v>52951</v>
      </c>
      <c r="F56" s="352">
        <f>E56/'- 3 -'!E56</f>
        <v>0.003673520584300051</v>
      </c>
    </row>
    <row r="57" spans="1:6" ht="12.75">
      <c r="A57" s="11">
        <v>2264</v>
      </c>
      <c r="B57" s="12" t="s">
        <v>161</v>
      </c>
      <c r="C57" s="405">
        <v>0</v>
      </c>
      <c r="D57" s="351">
        <f>C57/'- 3 -'!E57</f>
        <v>0</v>
      </c>
      <c r="E57" s="405">
        <v>5409</v>
      </c>
      <c r="F57" s="351">
        <f>E57/'- 3 -'!E57</f>
        <v>0.002569302664324112</v>
      </c>
    </row>
    <row r="58" spans="1:6" ht="12.75">
      <c r="A58" s="13">
        <v>2309</v>
      </c>
      <c r="B58" s="14" t="s">
        <v>162</v>
      </c>
      <c r="C58" s="406">
        <v>5309</v>
      </c>
      <c r="D58" s="352">
        <f>C58/'- 3 -'!E58</f>
        <v>0.002343749310207516</v>
      </c>
      <c r="E58" s="406">
        <v>0</v>
      </c>
      <c r="F58" s="352">
        <f>E58/'- 3 -'!E58</f>
        <v>0</v>
      </c>
    </row>
    <row r="59" spans="1:6" ht="12.75">
      <c r="A59" s="11">
        <v>2312</v>
      </c>
      <c r="B59" s="12" t="s">
        <v>163</v>
      </c>
      <c r="C59" s="405">
        <v>0</v>
      </c>
      <c r="D59" s="351">
        <f>C59/'- 3 -'!E59</f>
        <v>0</v>
      </c>
      <c r="E59" s="405">
        <v>539</v>
      </c>
      <c r="F59" s="351">
        <f>E59/'- 3 -'!E59</f>
        <v>0.00026757440082446674</v>
      </c>
    </row>
    <row r="60" spans="1:6" ht="12.75">
      <c r="A60" s="13">
        <v>2355</v>
      </c>
      <c r="B60" s="14" t="s">
        <v>164</v>
      </c>
      <c r="C60" s="406">
        <v>119173</v>
      </c>
      <c r="D60" s="352">
        <f>C60/'- 3 -'!E60</f>
        <v>0.004790854181899743</v>
      </c>
      <c r="E60" s="406">
        <v>153552</v>
      </c>
      <c r="F60" s="352">
        <f>E60/'- 3 -'!E60</f>
        <v>0.0061729187092635866</v>
      </c>
    </row>
    <row r="61" spans="1:6" ht="12.75">
      <c r="A61" s="11">
        <v>2439</v>
      </c>
      <c r="B61" s="12" t="s">
        <v>165</v>
      </c>
      <c r="C61" s="405">
        <v>0</v>
      </c>
      <c r="D61" s="351">
        <f>C61/'- 3 -'!E61</f>
        <v>0</v>
      </c>
      <c r="E61" s="405">
        <v>16011.29</v>
      </c>
      <c r="F61" s="351">
        <f>E61/'- 3 -'!E61</f>
        <v>0.011459700407731347</v>
      </c>
    </row>
    <row r="62" spans="1:6" ht="12.75">
      <c r="A62" s="13">
        <v>2460</v>
      </c>
      <c r="B62" s="14" t="s">
        <v>166</v>
      </c>
      <c r="C62" s="406">
        <v>151292</v>
      </c>
      <c r="D62" s="352">
        <f>C62/'- 3 -'!E62</f>
        <v>0.045783406707669144</v>
      </c>
      <c r="E62" s="406">
        <v>1592</v>
      </c>
      <c r="F62" s="352">
        <f>E62/'- 3 -'!E62</f>
        <v>0.0004817649543836374</v>
      </c>
    </row>
    <row r="63" spans="1:6" ht="12.75">
      <c r="A63" s="11">
        <v>3000</v>
      </c>
      <c r="B63" s="12" t="s">
        <v>366</v>
      </c>
      <c r="C63" s="405">
        <v>0</v>
      </c>
      <c r="D63" s="351">
        <f>C63/'- 3 -'!E63</f>
        <v>0</v>
      </c>
      <c r="E63" s="405">
        <v>18303</v>
      </c>
      <c r="F63" s="351">
        <f>E63/'- 3 -'!E63</f>
        <v>0.0031738077195854262</v>
      </c>
    </row>
    <row r="64" spans="1:6" ht="4.5" customHeight="1">
      <c r="A64" s="15"/>
      <c r="B64" s="15"/>
      <c r="C64" s="412"/>
      <c r="D64" s="194"/>
      <c r="E64" s="412"/>
      <c r="F64" s="194"/>
    </row>
    <row r="65" spans="1:7" ht="12.75">
      <c r="A65" s="17"/>
      <c r="B65" s="18" t="s">
        <v>167</v>
      </c>
      <c r="C65" s="407">
        <f>SUM(C11:C63)</f>
        <v>7255343.720000001</v>
      </c>
      <c r="D65" s="100">
        <f>C65/'- 3 -'!E65</f>
        <v>0.005591520805508431</v>
      </c>
      <c r="E65" s="407">
        <f>SUM(E11:E63)</f>
        <v>3121770.6</v>
      </c>
      <c r="F65" s="100">
        <f>E65/'- 3 -'!E65</f>
        <v>0.0024058743367053785</v>
      </c>
      <c r="G65" s="74"/>
    </row>
    <row r="66" spans="1:6" ht="4.5" customHeight="1">
      <c r="A66" s="15"/>
      <c r="B66" s="15"/>
      <c r="C66" s="412"/>
      <c r="D66" s="194"/>
      <c r="E66" s="412"/>
      <c r="F66" s="194"/>
    </row>
    <row r="67" spans="1:6" ht="12.75">
      <c r="A67" s="13">
        <v>2155</v>
      </c>
      <c r="B67" s="14" t="s">
        <v>168</v>
      </c>
      <c r="C67" s="406">
        <v>0</v>
      </c>
      <c r="D67" s="352">
        <f>C67/'- 3 -'!E67</f>
        <v>0</v>
      </c>
      <c r="E67" s="406">
        <v>1480.68</v>
      </c>
      <c r="F67" s="352">
        <f>E67/'- 3 -'!E67</f>
        <v>0.0012374085999028563</v>
      </c>
    </row>
    <row r="68" spans="1:6" ht="12.75">
      <c r="A68" s="11">
        <v>2408</v>
      </c>
      <c r="B68" s="12" t="s">
        <v>170</v>
      </c>
      <c r="C68" s="405">
        <v>3672</v>
      </c>
      <c r="D68" s="351">
        <f>C68/'- 3 -'!E68</f>
        <v>0.001712747280220754</v>
      </c>
      <c r="E68" s="405">
        <v>4043</v>
      </c>
      <c r="F68" s="351">
        <f>E68/'- 3 -'!E68</f>
        <v>0.0018857944591319468</v>
      </c>
    </row>
    <row r="69" ht="6.75" customHeight="1"/>
    <row r="70" spans="1:2" ht="12" customHeight="1">
      <c r="A70" s="4"/>
      <c r="B70" s="4"/>
    </row>
    <row r="71" spans="1:2" ht="12" customHeight="1">
      <c r="A71" s="4"/>
      <c r="B71" s="4"/>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5" customWidth="1"/>
    <col min="2" max="2" width="35.83203125" style="15" customWidth="1"/>
    <col min="3" max="3" width="26.83203125" style="15" customWidth="1"/>
    <col min="4" max="4" width="20.83203125" style="15" customWidth="1"/>
    <col min="5" max="5" width="26.83203125" style="15" customWidth="1"/>
    <col min="6" max="6" width="20.83203125" style="15" customWidth="1"/>
    <col min="7" max="16384" width="15.83203125" style="15" customWidth="1"/>
  </cols>
  <sheetData>
    <row r="1" spans="2:6" ht="6.75" customHeight="1">
      <c r="B1" s="19"/>
      <c r="C1" s="54"/>
      <c r="D1" s="54"/>
      <c r="E1" s="54"/>
      <c r="F1" s="54"/>
    </row>
    <row r="2" spans="1:6" ht="12.75">
      <c r="A2" s="257"/>
      <c r="B2" s="258"/>
      <c r="C2" s="258" t="s">
        <v>10</v>
      </c>
      <c r="D2" s="258"/>
      <c r="E2" s="258"/>
      <c r="F2" s="257"/>
    </row>
    <row r="3" spans="1:6" ht="12.75">
      <c r="A3" s="259"/>
      <c r="B3" s="254"/>
      <c r="C3" s="58"/>
      <c r="D3" s="260"/>
      <c r="E3" s="260"/>
      <c r="F3" s="260"/>
    </row>
    <row r="4" spans="1:6" ht="12.75">
      <c r="A4" s="8"/>
      <c r="C4" s="54"/>
      <c r="D4" s="261"/>
      <c r="E4" s="262"/>
      <c r="F4" s="261"/>
    </row>
    <row r="5" spans="1:6" ht="12.75">
      <c r="A5" s="8"/>
      <c r="C5" s="54"/>
      <c r="D5" s="54"/>
      <c r="E5" s="54"/>
      <c r="F5" s="54"/>
    </row>
    <row r="6" spans="1:6" ht="12.75">
      <c r="A6" s="8"/>
      <c r="C6" s="54"/>
      <c r="D6" s="54"/>
      <c r="E6" s="54"/>
      <c r="F6" s="54"/>
    </row>
    <row r="7" spans="3:6" ht="12.75">
      <c r="C7" s="186" t="s">
        <v>479</v>
      </c>
      <c r="D7" s="263"/>
      <c r="E7" s="189" t="s">
        <v>478</v>
      </c>
      <c r="F7" s="263"/>
    </row>
    <row r="8" spans="1:6" ht="12.75">
      <c r="A8" s="42"/>
      <c r="B8" s="43"/>
      <c r="C8" s="264" t="s">
        <v>37</v>
      </c>
      <c r="D8" s="265"/>
      <c r="E8" s="264" t="s">
        <v>37</v>
      </c>
      <c r="F8" s="265"/>
    </row>
    <row r="9" spans="1:6" ht="15.75">
      <c r="A9" s="49" t="s">
        <v>101</v>
      </c>
      <c r="B9" s="50" t="s">
        <v>102</v>
      </c>
      <c r="C9" s="266" t="s">
        <v>390</v>
      </c>
      <c r="D9" s="266" t="s">
        <v>114</v>
      </c>
      <c r="E9" s="266" t="s">
        <v>390</v>
      </c>
      <c r="F9" s="266" t="s">
        <v>114</v>
      </c>
    </row>
    <row r="10" spans="1:2" ht="4.5" customHeight="1">
      <c r="A10" s="74"/>
      <c r="B10" s="74"/>
    </row>
    <row r="11" spans="1:6" ht="12.75">
      <c r="A11" s="358">
        <v>1</v>
      </c>
      <c r="B11" s="12" t="s">
        <v>116</v>
      </c>
      <c r="C11" s="405">
        <v>224694442</v>
      </c>
      <c r="D11" s="405">
        <v>7334</v>
      </c>
      <c r="E11" s="405">
        <f>'- 3 -'!G11</f>
        <v>235992758.09</v>
      </c>
      <c r="F11" s="405">
        <f>ROUND(E11/'- 7 -'!H11,0)</f>
        <v>7664</v>
      </c>
    </row>
    <row r="12" spans="1:6" ht="12.75">
      <c r="A12" s="359">
        <v>2</v>
      </c>
      <c r="B12" s="14" t="s">
        <v>117</v>
      </c>
      <c r="C12" s="406">
        <v>58681349</v>
      </c>
      <c r="D12" s="406">
        <v>6314</v>
      </c>
      <c r="E12" s="406">
        <f>'- 3 -'!G12</f>
        <v>59587646</v>
      </c>
      <c r="F12" s="406">
        <f>ROUND(E12/'- 7 -'!H12,0)</f>
        <v>6518</v>
      </c>
    </row>
    <row r="13" spans="1:6" ht="12.75">
      <c r="A13" s="358">
        <v>3</v>
      </c>
      <c r="B13" s="12" t="s">
        <v>118</v>
      </c>
      <c r="C13" s="405">
        <v>40610457</v>
      </c>
      <c r="D13" s="405">
        <v>6865</v>
      </c>
      <c r="E13" s="405">
        <f>'- 3 -'!G13</f>
        <v>41856119</v>
      </c>
      <c r="F13" s="405">
        <f>ROUND(E13/'- 7 -'!H13,0)</f>
        <v>7151</v>
      </c>
    </row>
    <row r="14" spans="1:6" ht="12.75">
      <c r="A14" s="359">
        <v>4</v>
      </c>
      <c r="B14" s="367" t="s">
        <v>119</v>
      </c>
      <c r="C14" s="406">
        <v>38959862</v>
      </c>
      <c r="D14" s="406">
        <v>6618</v>
      </c>
      <c r="E14" s="406">
        <f>'- 3 -'!G14</f>
        <v>41373034.57</v>
      </c>
      <c r="F14" s="406">
        <f>ROUND(E14/'- 7 -'!H14,0)</f>
        <v>6998</v>
      </c>
    </row>
    <row r="15" spans="1:6" ht="12.75">
      <c r="A15" s="358">
        <v>5</v>
      </c>
      <c r="B15" s="12" t="s">
        <v>120</v>
      </c>
      <c r="C15" s="405">
        <v>46947018</v>
      </c>
      <c r="D15" s="405">
        <v>6630</v>
      </c>
      <c r="E15" s="405">
        <f>'- 3 -'!G15</f>
        <v>50230299</v>
      </c>
      <c r="F15" s="405">
        <f>ROUND(E15/'- 7 -'!H15,0)</f>
        <v>6963</v>
      </c>
    </row>
    <row r="16" spans="1:6" ht="12.75">
      <c r="A16" s="359">
        <v>6</v>
      </c>
      <c r="B16" s="14" t="s">
        <v>121</v>
      </c>
      <c r="C16" s="406">
        <v>56009482</v>
      </c>
      <c r="D16" s="406">
        <v>6372</v>
      </c>
      <c r="E16" s="406">
        <f>'- 3 -'!G16</f>
        <v>57658795</v>
      </c>
      <c r="F16" s="406">
        <f>ROUND(E16/'- 7 -'!H16,0)</f>
        <v>6564</v>
      </c>
    </row>
    <row r="17" spans="1:6" ht="12.75">
      <c r="A17" s="358">
        <v>9</v>
      </c>
      <c r="B17" s="12" t="s">
        <v>122</v>
      </c>
      <c r="C17" s="405">
        <v>77438152.24000001</v>
      </c>
      <c r="D17" s="405">
        <v>6048</v>
      </c>
      <c r="E17" s="405">
        <f>'- 3 -'!G17</f>
        <v>80814107</v>
      </c>
      <c r="F17" s="405">
        <f>ROUND(E17/'- 7 -'!H17,0)</f>
        <v>6446</v>
      </c>
    </row>
    <row r="18" spans="1:6" ht="12.75">
      <c r="A18" s="359">
        <v>10</v>
      </c>
      <c r="B18" s="14" t="s">
        <v>123</v>
      </c>
      <c r="C18" s="406">
        <v>56739702</v>
      </c>
      <c r="D18" s="406">
        <v>6626</v>
      </c>
      <c r="E18" s="406">
        <f>'- 3 -'!G18</f>
        <v>59769772.690000005</v>
      </c>
      <c r="F18" s="406">
        <f>ROUND(E18/'- 7 -'!H18,0)</f>
        <v>6977</v>
      </c>
    </row>
    <row r="19" spans="1:6" ht="12.75">
      <c r="A19" s="358">
        <v>11</v>
      </c>
      <c r="B19" s="12" t="s">
        <v>124</v>
      </c>
      <c r="C19" s="405">
        <v>30623438</v>
      </c>
      <c r="D19" s="405">
        <v>6499</v>
      </c>
      <c r="E19" s="405">
        <f>'- 3 -'!G19</f>
        <v>31698953</v>
      </c>
      <c r="F19" s="405">
        <f>ROUND(E19/'- 7 -'!H19,0)</f>
        <v>6722</v>
      </c>
    </row>
    <row r="20" spans="1:6" ht="12.75">
      <c r="A20" s="359">
        <v>12</v>
      </c>
      <c r="B20" s="14" t="s">
        <v>125</v>
      </c>
      <c r="C20" s="406">
        <v>49602069</v>
      </c>
      <c r="D20" s="406">
        <v>6158</v>
      </c>
      <c r="E20" s="406">
        <f>'- 3 -'!G20</f>
        <v>50965605</v>
      </c>
      <c r="F20" s="406">
        <f>ROUND(E20/'- 7 -'!H20,0)</f>
        <v>6603</v>
      </c>
    </row>
    <row r="21" spans="1:6" ht="12.75">
      <c r="A21" s="358">
        <v>13</v>
      </c>
      <c r="B21" s="12" t="s">
        <v>126</v>
      </c>
      <c r="C21" s="405">
        <v>18799442</v>
      </c>
      <c r="D21" s="405">
        <v>5688</v>
      </c>
      <c r="E21" s="405">
        <f>'- 3 -'!G21</f>
        <v>18768369</v>
      </c>
      <c r="F21" s="405">
        <f>ROUND(E21/'- 7 -'!H21,0)</f>
        <v>7018</v>
      </c>
    </row>
    <row r="22" spans="1:6" ht="12.75">
      <c r="A22" s="359">
        <v>14</v>
      </c>
      <c r="B22" s="14" t="s">
        <v>127</v>
      </c>
      <c r="C22" s="406">
        <v>21420692.900000002</v>
      </c>
      <c r="D22" s="406">
        <v>6133</v>
      </c>
      <c r="E22" s="406">
        <f>'- 3 -'!G22</f>
        <v>22668627.41</v>
      </c>
      <c r="F22" s="406">
        <f>ROUND(E22/'- 7 -'!H22,0)</f>
        <v>6448</v>
      </c>
    </row>
    <row r="23" spans="1:6" ht="12.75">
      <c r="A23" s="358">
        <v>15</v>
      </c>
      <c r="B23" s="12" t="s">
        <v>128</v>
      </c>
      <c r="C23" s="405">
        <v>30142537</v>
      </c>
      <c r="D23" s="405">
        <v>5121</v>
      </c>
      <c r="E23" s="405">
        <f>'- 3 -'!G23</f>
        <v>31848328</v>
      </c>
      <c r="F23" s="405">
        <f>ROUND(E23/'- 7 -'!H23,0)</f>
        <v>5313</v>
      </c>
    </row>
    <row r="24" spans="1:6" ht="12.75">
      <c r="A24" s="359">
        <v>16</v>
      </c>
      <c r="B24" s="14" t="s">
        <v>129</v>
      </c>
      <c r="C24" s="406">
        <v>5658795</v>
      </c>
      <c r="D24" s="406">
        <v>7122</v>
      </c>
      <c r="E24" s="406">
        <f>'- 3 -'!G24</f>
        <v>6122190.399999999</v>
      </c>
      <c r="F24" s="406">
        <f>ROUND(E24/'- 7 -'!H24,0)</f>
        <v>7281</v>
      </c>
    </row>
    <row r="25" spans="1:6" ht="12.75">
      <c r="A25" s="358">
        <v>17</v>
      </c>
      <c r="B25" s="12" t="s">
        <v>130</v>
      </c>
      <c r="C25" s="405">
        <v>3947093.7</v>
      </c>
      <c r="D25" s="405">
        <v>7330</v>
      </c>
      <c r="E25" s="405">
        <f>'- 3 -'!G25</f>
        <v>4152618.9999999995</v>
      </c>
      <c r="F25" s="405">
        <f>ROUND(E25/'- 7 -'!H25,0)</f>
        <v>8509</v>
      </c>
    </row>
    <row r="26" spans="1:6" ht="12.75">
      <c r="A26" s="359">
        <v>18</v>
      </c>
      <c r="B26" s="14" t="s">
        <v>131</v>
      </c>
      <c r="C26" s="406">
        <v>9099771</v>
      </c>
      <c r="D26" s="406">
        <v>6168</v>
      </c>
      <c r="E26" s="406">
        <f>'- 3 -'!G26</f>
        <v>9274023.61</v>
      </c>
      <c r="F26" s="406">
        <f>ROUND(E26/'- 7 -'!H26,0)</f>
        <v>6307</v>
      </c>
    </row>
    <row r="27" spans="1:6" ht="12.75">
      <c r="A27" s="358">
        <v>19</v>
      </c>
      <c r="B27" s="12" t="s">
        <v>132</v>
      </c>
      <c r="C27" s="405">
        <v>23181971</v>
      </c>
      <c r="D27" s="405">
        <v>3913</v>
      </c>
      <c r="E27" s="405">
        <f>'- 3 -'!G27</f>
        <v>12760366.059999999</v>
      </c>
      <c r="F27" s="405">
        <f>ROUND(E27/'- 7 -'!H27,0)</f>
        <v>6866</v>
      </c>
    </row>
    <row r="28" spans="1:6" ht="12.75">
      <c r="A28" s="359">
        <v>20</v>
      </c>
      <c r="B28" s="14" t="s">
        <v>133</v>
      </c>
      <c r="C28" s="406">
        <v>7235438</v>
      </c>
      <c r="D28" s="406">
        <v>7207</v>
      </c>
      <c r="E28" s="406">
        <f>'- 3 -'!G28</f>
        <v>7541131</v>
      </c>
      <c r="F28" s="406">
        <f>ROUND(E28/'- 7 -'!H28,0)</f>
        <v>7901</v>
      </c>
    </row>
    <row r="29" spans="1:6" ht="12.75">
      <c r="A29" s="358">
        <v>21</v>
      </c>
      <c r="B29" s="12" t="s">
        <v>134</v>
      </c>
      <c r="C29" s="405">
        <v>21431516</v>
      </c>
      <c r="D29" s="405">
        <v>6092</v>
      </c>
      <c r="E29" s="405">
        <f>'- 3 -'!G29</f>
        <v>21975606</v>
      </c>
      <c r="F29" s="405">
        <f>ROUND(E29/'- 7 -'!H29,0)</f>
        <v>6404</v>
      </c>
    </row>
    <row r="30" spans="1:6" ht="12.75">
      <c r="A30" s="359">
        <v>22</v>
      </c>
      <c r="B30" s="14" t="s">
        <v>135</v>
      </c>
      <c r="C30" s="406">
        <v>11383776</v>
      </c>
      <c r="D30" s="406">
        <v>6530</v>
      </c>
      <c r="E30" s="406">
        <f>'- 3 -'!G30</f>
        <v>11512899</v>
      </c>
      <c r="F30" s="406">
        <f>ROUND(E30/'- 7 -'!H30,0)</f>
        <v>6521</v>
      </c>
    </row>
    <row r="31" spans="1:6" ht="12.75">
      <c r="A31" s="358">
        <v>23</v>
      </c>
      <c r="B31" s="12" t="s">
        <v>136</v>
      </c>
      <c r="C31" s="405">
        <v>9757913</v>
      </c>
      <c r="D31" s="405">
        <v>6767</v>
      </c>
      <c r="E31" s="405">
        <f>'- 3 -'!G31</f>
        <v>10018001</v>
      </c>
      <c r="F31" s="405">
        <f>ROUND(E31/'- 7 -'!H31,0)</f>
        <v>6967</v>
      </c>
    </row>
    <row r="32" spans="1:6" ht="12.75">
      <c r="A32" s="359">
        <v>24</v>
      </c>
      <c r="B32" s="14" t="s">
        <v>137</v>
      </c>
      <c r="C32" s="406">
        <v>22108782</v>
      </c>
      <c r="D32" s="406">
        <v>6027</v>
      </c>
      <c r="E32" s="406">
        <f>'- 3 -'!G32</f>
        <v>22482395</v>
      </c>
      <c r="F32" s="406">
        <f>ROUND(E32/'- 7 -'!H32,0)</f>
        <v>6292</v>
      </c>
    </row>
    <row r="33" spans="1:6" ht="12.75">
      <c r="A33" s="358">
        <v>25</v>
      </c>
      <c r="B33" s="12" t="s">
        <v>138</v>
      </c>
      <c r="C33" s="405">
        <v>9906499</v>
      </c>
      <c r="D33" s="405">
        <v>6149</v>
      </c>
      <c r="E33" s="405">
        <f>'- 3 -'!G33</f>
        <v>10092757</v>
      </c>
      <c r="F33" s="405">
        <f>ROUND(E33/'- 7 -'!H33,0)</f>
        <v>6917</v>
      </c>
    </row>
    <row r="34" spans="1:6" ht="12.75">
      <c r="A34" s="359">
        <v>26</v>
      </c>
      <c r="B34" s="14" t="s">
        <v>139</v>
      </c>
      <c r="C34" s="406">
        <v>15264189</v>
      </c>
      <c r="D34" s="406">
        <v>5536</v>
      </c>
      <c r="E34" s="406">
        <f>'- 3 -'!G34</f>
        <v>16081059</v>
      </c>
      <c r="F34" s="406">
        <f>ROUND(E34/'- 7 -'!H34,0)</f>
        <v>5656</v>
      </c>
    </row>
    <row r="35" spans="1:6" ht="12.75">
      <c r="A35" s="358">
        <v>28</v>
      </c>
      <c r="B35" s="12" t="s">
        <v>140</v>
      </c>
      <c r="C35" s="405">
        <v>6040796</v>
      </c>
      <c r="D35" s="405">
        <v>6848</v>
      </c>
      <c r="E35" s="405">
        <f>'- 3 -'!G35</f>
        <v>6366499</v>
      </c>
      <c r="F35" s="405">
        <f>ROUND(E35/'- 7 -'!H35,0)</f>
        <v>7224</v>
      </c>
    </row>
    <row r="36" spans="1:6" ht="12.75">
      <c r="A36" s="359">
        <v>30</v>
      </c>
      <c r="B36" s="14" t="s">
        <v>141</v>
      </c>
      <c r="C36" s="406">
        <v>8831785</v>
      </c>
      <c r="D36" s="406">
        <v>6500</v>
      </c>
      <c r="E36" s="406">
        <f>'- 3 -'!G36</f>
        <v>9233944</v>
      </c>
      <c r="F36" s="406">
        <f>ROUND(E36/'- 7 -'!H36,0)</f>
        <v>7094</v>
      </c>
    </row>
    <row r="37" spans="1:6" ht="12.75">
      <c r="A37" s="358">
        <v>31</v>
      </c>
      <c r="B37" s="12" t="s">
        <v>142</v>
      </c>
      <c r="C37" s="405">
        <v>10432885</v>
      </c>
      <c r="D37" s="405">
        <v>6151</v>
      </c>
      <c r="E37" s="405">
        <f>'- 3 -'!G37</f>
        <v>10756201</v>
      </c>
      <c r="F37" s="405">
        <f>ROUND(E37/'- 7 -'!H37,0)</f>
        <v>6515</v>
      </c>
    </row>
    <row r="38" spans="1:6" ht="12.75">
      <c r="A38" s="359">
        <v>32</v>
      </c>
      <c r="B38" s="14" t="s">
        <v>143</v>
      </c>
      <c r="C38" s="406">
        <v>6173371.57</v>
      </c>
      <c r="D38" s="406">
        <v>7293</v>
      </c>
      <c r="E38" s="406">
        <f>'- 3 -'!G38</f>
        <v>6343371.08</v>
      </c>
      <c r="F38" s="406">
        <f>ROUND(E38/'- 7 -'!H38,0)</f>
        <v>7652</v>
      </c>
    </row>
    <row r="39" spans="1:6" ht="12.75">
      <c r="A39" s="358">
        <v>33</v>
      </c>
      <c r="B39" s="12" t="s">
        <v>144</v>
      </c>
      <c r="C39" s="405">
        <v>12410810</v>
      </c>
      <c r="D39" s="405">
        <v>6518</v>
      </c>
      <c r="E39" s="405">
        <f>'- 3 -'!G39</f>
        <v>12933845</v>
      </c>
      <c r="F39" s="405">
        <f>ROUND(E39/'- 7 -'!H39,0)</f>
        <v>6797</v>
      </c>
    </row>
    <row r="40" spans="1:6" ht="12.75">
      <c r="A40" s="359">
        <v>34</v>
      </c>
      <c r="B40" s="14" t="s">
        <v>145</v>
      </c>
      <c r="C40" s="406">
        <v>5516781.245</v>
      </c>
      <c r="D40" s="406">
        <v>7511</v>
      </c>
      <c r="E40" s="406">
        <f>'- 3 -'!G40</f>
        <v>5783522.05</v>
      </c>
      <c r="F40" s="406">
        <f>ROUND(E40/'- 7 -'!H40,0)</f>
        <v>7890</v>
      </c>
    </row>
    <row r="41" spans="1:6" ht="12.75">
      <c r="A41" s="358">
        <v>35</v>
      </c>
      <c r="B41" s="12" t="s">
        <v>146</v>
      </c>
      <c r="C41" s="405">
        <v>13622638.85</v>
      </c>
      <c r="D41" s="405">
        <v>6846</v>
      </c>
      <c r="E41" s="405">
        <f>'- 3 -'!G41</f>
        <v>13867629.43</v>
      </c>
      <c r="F41" s="405">
        <f>ROUND(E41/'- 7 -'!H41,0)</f>
        <v>7208</v>
      </c>
    </row>
    <row r="42" spans="1:6" ht="12.75">
      <c r="A42" s="359">
        <v>36</v>
      </c>
      <c r="B42" s="14" t="s">
        <v>147</v>
      </c>
      <c r="C42" s="406">
        <v>7124866.62</v>
      </c>
      <c r="D42" s="406">
        <v>6451</v>
      </c>
      <c r="E42" s="406">
        <f>'- 3 -'!G42</f>
        <v>7991136.66</v>
      </c>
      <c r="F42" s="406">
        <f>ROUND(E42/'- 7 -'!H42,0)</f>
        <v>7924</v>
      </c>
    </row>
    <row r="43" spans="1:6" ht="12.75">
      <c r="A43" s="358">
        <v>37</v>
      </c>
      <c r="B43" s="12" t="s">
        <v>148</v>
      </c>
      <c r="C43" s="405">
        <v>6910335.87</v>
      </c>
      <c r="D43" s="405">
        <v>6890</v>
      </c>
      <c r="E43" s="405">
        <f>'- 3 -'!G43</f>
        <v>6866938.34</v>
      </c>
      <c r="F43" s="405">
        <f>ROUND(E43/'- 7 -'!H43,0)</f>
        <v>7131</v>
      </c>
    </row>
    <row r="44" spans="1:6" ht="12.75">
      <c r="A44" s="359">
        <v>38</v>
      </c>
      <c r="B44" s="14" t="s">
        <v>149</v>
      </c>
      <c r="C44" s="406">
        <v>8878587</v>
      </c>
      <c r="D44" s="406">
        <v>7134</v>
      </c>
      <c r="E44" s="406">
        <f>'- 3 -'!G44</f>
        <v>8933688</v>
      </c>
      <c r="F44" s="406">
        <f>ROUND(E44/'- 7 -'!H44,0)</f>
        <v>7649</v>
      </c>
    </row>
    <row r="45" spans="1:6" ht="12.75">
      <c r="A45" s="358">
        <v>39</v>
      </c>
      <c r="B45" s="12" t="s">
        <v>150</v>
      </c>
      <c r="C45" s="405">
        <v>14911958</v>
      </c>
      <c r="D45" s="405">
        <v>6587</v>
      </c>
      <c r="E45" s="405">
        <f>'- 3 -'!G45</f>
        <v>14822253</v>
      </c>
      <c r="F45" s="405">
        <f>ROUND(E45/'- 7 -'!H45,0)</f>
        <v>6992</v>
      </c>
    </row>
    <row r="46" spans="1:6" ht="12.75">
      <c r="A46" s="359">
        <v>40</v>
      </c>
      <c r="B46" s="14" t="s">
        <v>151</v>
      </c>
      <c r="C46" s="406">
        <v>43252137.480000004</v>
      </c>
      <c r="D46" s="406">
        <v>5666</v>
      </c>
      <c r="E46" s="406">
        <f>'- 3 -'!G46</f>
        <v>44745761</v>
      </c>
      <c r="F46" s="406">
        <f>ROUND(E46/'- 7 -'!H46,0)</f>
        <v>6046</v>
      </c>
    </row>
    <row r="47" spans="1:6" ht="12.75">
      <c r="A47" s="358">
        <v>41</v>
      </c>
      <c r="B47" s="12" t="s">
        <v>152</v>
      </c>
      <c r="C47" s="405">
        <v>11657448.29</v>
      </c>
      <c r="D47" s="405">
        <v>7069</v>
      </c>
      <c r="E47" s="405">
        <f>'- 3 -'!G47</f>
        <v>12125019</v>
      </c>
      <c r="F47" s="405">
        <f>ROUND(E47/'- 7 -'!H47,0)</f>
        <v>7323</v>
      </c>
    </row>
    <row r="48" spans="1:6" ht="12.75">
      <c r="A48" s="359">
        <v>42</v>
      </c>
      <c r="B48" s="14" t="s">
        <v>153</v>
      </c>
      <c r="C48" s="406">
        <v>7811313</v>
      </c>
      <c r="D48" s="406">
        <v>7133</v>
      </c>
      <c r="E48" s="406">
        <f>'- 3 -'!G48</f>
        <v>7724121</v>
      </c>
      <c r="F48" s="406">
        <f>ROUND(E48/'- 7 -'!H48,0)</f>
        <v>7308</v>
      </c>
    </row>
    <row r="49" spans="1:6" ht="12.75">
      <c r="A49" s="358">
        <v>43</v>
      </c>
      <c r="B49" s="12" t="s">
        <v>154</v>
      </c>
      <c r="C49" s="405">
        <v>6044635</v>
      </c>
      <c r="D49" s="405">
        <v>7322</v>
      </c>
      <c r="E49" s="405">
        <f>'- 3 -'!G49</f>
        <v>6314743</v>
      </c>
      <c r="F49" s="405">
        <f>ROUND(E49/'- 7 -'!H49,0)</f>
        <v>8111</v>
      </c>
    </row>
    <row r="50" spans="1:6" ht="12.75">
      <c r="A50" s="359">
        <v>44</v>
      </c>
      <c r="B50" s="14" t="s">
        <v>155</v>
      </c>
      <c r="C50" s="406">
        <v>9050472</v>
      </c>
      <c r="D50" s="406">
        <v>6491</v>
      </c>
      <c r="E50" s="406">
        <f>'- 3 -'!G50</f>
        <v>8892335</v>
      </c>
      <c r="F50" s="406">
        <f>ROUND(E50/'- 7 -'!H50,0)</f>
        <v>7151</v>
      </c>
    </row>
    <row r="51" spans="1:6" ht="12.75">
      <c r="A51" s="358">
        <v>45</v>
      </c>
      <c r="B51" s="12" t="s">
        <v>156</v>
      </c>
      <c r="C51" s="405">
        <v>11738992.29</v>
      </c>
      <c r="D51" s="405">
        <v>6398</v>
      </c>
      <c r="E51" s="405">
        <f>'- 3 -'!G51</f>
        <v>12038017</v>
      </c>
      <c r="F51" s="405">
        <f>ROUND(E51/'- 7 -'!H51,0)</f>
        <v>6389</v>
      </c>
    </row>
    <row r="52" spans="1:6" ht="12.75">
      <c r="A52" s="359">
        <v>46</v>
      </c>
      <c r="B52" s="14" t="s">
        <v>157</v>
      </c>
      <c r="C52" s="406">
        <v>11282947.25</v>
      </c>
      <c r="D52" s="406">
        <v>7574</v>
      </c>
      <c r="E52" s="406">
        <f>'- 3 -'!G52</f>
        <v>10934169.56</v>
      </c>
      <c r="F52" s="406">
        <f>ROUND(E52/'- 7 -'!H52,0)</f>
        <v>7607</v>
      </c>
    </row>
    <row r="53" spans="1:6" ht="12.75">
      <c r="A53" s="358">
        <v>47</v>
      </c>
      <c r="B53" s="12" t="s">
        <v>158</v>
      </c>
      <c r="C53" s="405">
        <v>8941585.280000001</v>
      </c>
      <c r="D53" s="405">
        <v>5894</v>
      </c>
      <c r="E53" s="405">
        <f>'- 3 -'!G53</f>
        <v>9012447</v>
      </c>
      <c r="F53" s="405">
        <f>ROUND(E53/'- 7 -'!H53,0)</f>
        <v>6231</v>
      </c>
    </row>
    <row r="54" spans="1:6" ht="12.75">
      <c r="A54" s="359">
        <v>48</v>
      </c>
      <c r="B54" s="14" t="s">
        <v>159</v>
      </c>
      <c r="C54" s="406">
        <v>56203670</v>
      </c>
      <c r="D54" s="406">
        <v>10922</v>
      </c>
      <c r="E54" s="406">
        <f>'- 3 -'!G54</f>
        <v>58729618</v>
      </c>
      <c r="F54" s="406">
        <f>ROUND(E54/'- 7 -'!H54,0)</f>
        <v>11234</v>
      </c>
    </row>
    <row r="55" spans="1:6" ht="12.75">
      <c r="A55" s="358">
        <v>49</v>
      </c>
      <c r="B55" s="12" t="s">
        <v>160</v>
      </c>
      <c r="C55" s="405">
        <v>33727645</v>
      </c>
      <c r="D55" s="405">
        <v>7845</v>
      </c>
      <c r="E55" s="405">
        <f>'- 3 -'!G55</f>
        <v>36065529</v>
      </c>
      <c r="F55" s="405">
        <f>ROUND(E55/'- 7 -'!H55,0)</f>
        <v>8464</v>
      </c>
    </row>
    <row r="56" spans="1:6" ht="12.75">
      <c r="A56" s="359">
        <v>50</v>
      </c>
      <c r="B56" s="367" t="s">
        <v>343</v>
      </c>
      <c r="C56" s="406">
        <v>14102604</v>
      </c>
      <c r="D56" s="406">
        <v>7633</v>
      </c>
      <c r="E56" s="406">
        <f>'- 3 -'!G56</f>
        <v>14408698</v>
      </c>
      <c r="F56" s="406">
        <f>ROUND(E56/'- 7 -'!H56,0)</f>
        <v>8176</v>
      </c>
    </row>
    <row r="57" spans="1:6" ht="12.75">
      <c r="A57" s="358">
        <v>2264</v>
      </c>
      <c r="B57" s="12" t="s">
        <v>161</v>
      </c>
      <c r="C57" s="405">
        <v>1739019</v>
      </c>
      <c r="D57" s="405">
        <v>9081</v>
      </c>
      <c r="E57" s="405">
        <f>'- 3 -'!G57</f>
        <v>2105240.49</v>
      </c>
      <c r="F57" s="405">
        <f>ROUND(E57/'- 7 -'!H57,0)</f>
        <v>10714</v>
      </c>
    </row>
    <row r="58" spans="1:6" ht="12.75">
      <c r="A58" s="359">
        <v>2309</v>
      </c>
      <c r="B58" s="14" t="s">
        <v>162</v>
      </c>
      <c r="C58" s="406">
        <v>2000132</v>
      </c>
      <c r="D58" s="406">
        <v>7937</v>
      </c>
      <c r="E58" s="406">
        <f>'- 3 -'!G58</f>
        <v>2265174</v>
      </c>
      <c r="F58" s="406">
        <f>ROUND(E58/'- 7 -'!H58,0)</f>
        <v>8689</v>
      </c>
    </row>
    <row r="59" spans="1:6" ht="12.75">
      <c r="A59" s="358">
        <v>2312</v>
      </c>
      <c r="B59" s="12" t="s">
        <v>163</v>
      </c>
      <c r="C59" s="405">
        <v>1783636</v>
      </c>
      <c r="D59" s="405">
        <v>9667</v>
      </c>
      <c r="E59" s="405">
        <f>'- 3 -'!G59</f>
        <v>2007893</v>
      </c>
      <c r="F59" s="405">
        <f>ROUND(E59/'- 7 -'!H59,0)</f>
        <v>11540</v>
      </c>
    </row>
    <row r="60" spans="1:6" ht="12.75">
      <c r="A60" s="359">
        <v>2355</v>
      </c>
      <c r="B60" s="14" t="s">
        <v>164</v>
      </c>
      <c r="C60" s="406">
        <v>23839493</v>
      </c>
      <c r="D60" s="406">
        <v>6762</v>
      </c>
      <c r="E60" s="406">
        <f>'- 3 -'!G60</f>
        <v>24866582.83</v>
      </c>
      <c r="F60" s="406">
        <f>ROUND(E60/'- 7 -'!H60,0)</f>
        <v>7487</v>
      </c>
    </row>
    <row r="61" spans="1:6" ht="12.75">
      <c r="A61" s="358">
        <v>2439</v>
      </c>
      <c r="B61" s="12" t="s">
        <v>165</v>
      </c>
      <c r="C61" s="405">
        <v>1221223.57</v>
      </c>
      <c r="D61" s="405">
        <v>7982</v>
      </c>
      <c r="E61" s="405">
        <f>'- 3 -'!G61</f>
        <v>1326706.17</v>
      </c>
      <c r="F61" s="405">
        <f>ROUND(E61/'- 7 -'!H61,0)</f>
        <v>8477</v>
      </c>
    </row>
    <row r="62" spans="1:6" ht="12.75">
      <c r="A62" s="359">
        <v>2460</v>
      </c>
      <c r="B62" s="14" t="s">
        <v>166</v>
      </c>
      <c r="C62" s="406">
        <v>2802987</v>
      </c>
      <c r="D62" s="406">
        <v>9048</v>
      </c>
      <c r="E62" s="406">
        <f>'- 3 -'!G62</f>
        <v>3299382</v>
      </c>
      <c r="F62" s="406">
        <f>ROUND(E62/'- 7 -'!H62,0)</f>
        <v>12121</v>
      </c>
    </row>
    <row r="63" spans="1:6" ht="12.75">
      <c r="A63" s="358">
        <v>3000</v>
      </c>
      <c r="B63" s="12" t="s">
        <v>366</v>
      </c>
      <c r="C63" s="405">
        <v>5006860</v>
      </c>
      <c r="D63" s="405">
        <v>7489</v>
      </c>
      <c r="E63" s="405">
        <f>'- 3 -'!G63</f>
        <v>5490082</v>
      </c>
      <c r="F63" s="405">
        <f>ROUND(E63/'- 7 -'!H63,0)</f>
        <v>8177</v>
      </c>
    </row>
    <row r="64" spans="1:6" ht="4.5" customHeight="1">
      <c r="A64" s="360"/>
      <c r="C64" s="412"/>
      <c r="D64" s="412"/>
      <c r="E64" s="412"/>
      <c r="F64" s="412"/>
    </row>
    <row r="65" spans="1:6" ht="12.75">
      <c r="A65" s="361"/>
      <c r="B65" s="18" t="s">
        <v>167</v>
      </c>
      <c r="C65" s="407">
        <v>1242706002.155</v>
      </c>
      <c r="D65" s="407">
        <v>6612</v>
      </c>
      <c r="E65" s="407">
        <f>SUM(E11:E63)</f>
        <v>1281496006.4399998</v>
      </c>
      <c r="F65" s="407">
        <f>ROUND(E65/'- 7 -'!H65,0)</f>
        <v>7071</v>
      </c>
    </row>
    <row r="66" spans="1:6" ht="4.5" customHeight="1">
      <c r="A66" s="360"/>
      <c r="C66" s="412"/>
      <c r="D66" s="412"/>
      <c r="E66" s="412"/>
      <c r="F66" s="412"/>
    </row>
    <row r="67" spans="1:6" ht="12.75">
      <c r="A67" s="359">
        <v>2155</v>
      </c>
      <c r="B67" s="14" t="s">
        <v>168</v>
      </c>
      <c r="C67" s="406">
        <v>1198657.88</v>
      </c>
      <c r="D67" s="406">
        <v>8210</v>
      </c>
      <c r="E67" s="406">
        <f>'- 3 -'!G67</f>
        <v>1190402.68</v>
      </c>
      <c r="F67" s="406">
        <f>ROUND(E67/'- 7 -'!H67,0)</f>
        <v>8153</v>
      </c>
    </row>
    <row r="68" spans="1:6" ht="12.75">
      <c r="A68" s="358">
        <v>2408</v>
      </c>
      <c r="B68" s="12" t="s">
        <v>170</v>
      </c>
      <c r="C68" s="405">
        <v>2256469</v>
      </c>
      <c r="D68" s="405">
        <v>8102</v>
      </c>
      <c r="E68" s="405">
        <f>'- 3 -'!G68</f>
        <v>2140232</v>
      </c>
      <c r="F68" s="405">
        <f>ROUND(E68/'- 7 -'!H68,0)</f>
        <v>8295</v>
      </c>
    </row>
    <row r="69" ht="6.75" customHeight="1"/>
    <row r="70" spans="1:6" ht="12" customHeight="1">
      <c r="A70" s="380" t="s">
        <v>354</v>
      </c>
      <c r="B70" s="267" t="s">
        <v>458</v>
      </c>
      <c r="C70" s="120"/>
      <c r="D70" s="120"/>
      <c r="E70" s="120"/>
      <c r="F70" s="120"/>
    </row>
    <row r="71" spans="1:6" ht="12" customHeight="1">
      <c r="A71" s="4"/>
      <c r="B71" s="267" t="s">
        <v>455</v>
      </c>
      <c r="C71" s="120"/>
      <c r="D71" s="120"/>
      <c r="E71" s="120"/>
      <c r="F71" s="120"/>
    </row>
    <row r="72" spans="1:6" ht="12" customHeight="1">
      <c r="A72" s="4"/>
      <c r="B72" s="267" t="s">
        <v>456</v>
      </c>
      <c r="C72" s="120"/>
      <c r="D72" s="120"/>
      <c r="E72" s="120"/>
      <c r="F72" s="120"/>
    </row>
    <row r="73" spans="1:6" ht="12" customHeight="1">
      <c r="A73" s="4"/>
      <c r="B73" s="267" t="s">
        <v>457</v>
      </c>
      <c r="C73" s="120"/>
      <c r="D73" s="120"/>
      <c r="E73" s="120"/>
      <c r="F73" s="120"/>
    </row>
    <row r="74" spans="1:6" ht="12" customHeight="1">
      <c r="A74" s="365"/>
      <c r="B74" s="268"/>
      <c r="C74"/>
      <c r="D74"/>
      <c r="E74"/>
      <c r="F74"/>
    </row>
    <row r="75" spans="2:6" ht="12" customHeight="1">
      <c r="B75" s="350"/>
      <c r="C75"/>
      <c r="D75"/>
      <c r="E75"/>
      <c r="F7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4" width="15.83203125" style="79" customWidth="1"/>
    <col min="5" max="5" width="16.83203125" style="79" customWidth="1"/>
    <col min="6" max="6" width="15.83203125" style="79" customWidth="1"/>
    <col min="7" max="7" width="16.83203125" style="79" customWidth="1"/>
    <col min="8" max="16384" width="15.83203125" style="79" customWidth="1"/>
  </cols>
  <sheetData>
    <row r="1" spans="1:8" ht="6.75" customHeight="1">
      <c r="A1" s="15"/>
      <c r="B1" s="77"/>
      <c r="C1" s="139"/>
      <c r="D1" s="139"/>
      <c r="E1" s="139"/>
      <c r="F1" s="139"/>
      <c r="G1" s="139"/>
      <c r="H1" s="139"/>
    </row>
    <row r="2" spans="1:8" ht="12.75">
      <c r="A2" s="6"/>
      <c r="B2" s="80"/>
      <c r="C2" s="196" t="s">
        <v>0</v>
      </c>
      <c r="D2" s="196"/>
      <c r="E2" s="196"/>
      <c r="F2" s="196"/>
      <c r="G2" s="215"/>
      <c r="H2" s="216" t="s">
        <v>430</v>
      </c>
    </row>
    <row r="3" spans="1:8" ht="12.75">
      <c r="A3" s="7"/>
      <c r="B3" s="83"/>
      <c r="C3" s="199" t="str">
        <f>YEAR</f>
        <v>OPERATING FUND ACTUAL 2001/2002</v>
      </c>
      <c r="D3" s="199"/>
      <c r="E3" s="199"/>
      <c r="F3" s="199"/>
      <c r="G3" s="217"/>
      <c r="H3" s="217"/>
    </row>
    <row r="4" spans="1:8" ht="12.75">
      <c r="A4" s="8"/>
      <c r="C4" s="139"/>
      <c r="D4" s="139"/>
      <c r="E4" s="139"/>
      <c r="F4" s="139"/>
      <c r="G4" s="139"/>
      <c r="H4" s="139"/>
    </row>
    <row r="5" spans="1:8" ht="12.75">
      <c r="A5" s="8"/>
      <c r="C5" s="54"/>
      <c r="D5" s="139"/>
      <c r="E5" s="139"/>
      <c r="F5" s="139"/>
      <c r="G5" s="139"/>
      <c r="H5" s="139"/>
    </row>
    <row r="6" spans="1:8" ht="16.5">
      <c r="A6" s="8"/>
      <c r="C6" s="331" t="s">
        <v>28</v>
      </c>
      <c r="D6" s="218"/>
      <c r="E6" s="219"/>
      <c r="F6" s="220"/>
      <c r="G6"/>
      <c r="H6"/>
    </row>
    <row r="7" spans="3:8" ht="12.75">
      <c r="C7" s="201"/>
      <c r="D7" s="63"/>
      <c r="E7" s="64" t="s">
        <v>62</v>
      </c>
      <c r="F7" s="63"/>
      <c r="G7"/>
      <c r="H7"/>
    </row>
    <row r="8" spans="1:8" ht="12.75">
      <c r="A8" s="91"/>
      <c r="B8" s="43"/>
      <c r="C8" s="65" t="s">
        <v>85</v>
      </c>
      <c r="D8" s="67"/>
      <c r="E8" s="65" t="s">
        <v>86</v>
      </c>
      <c r="F8" s="67"/>
      <c r="G8"/>
      <c r="H8"/>
    </row>
    <row r="9" spans="1:8" ht="12.75">
      <c r="A9" s="49" t="s">
        <v>101</v>
      </c>
      <c r="B9" s="50" t="s">
        <v>102</v>
      </c>
      <c r="C9" s="221" t="s">
        <v>103</v>
      </c>
      <c r="D9" s="130" t="s">
        <v>104</v>
      </c>
      <c r="E9" s="130" t="s">
        <v>103</v>
      </c>
      <c r="F9" s="130" t="s">
        <v>104</v>
      </c>
      <c r="G9"/>
      <c r="H9"/>
    </row>
    <row r="10" spans="1:8" ht="4.5" customHeight="1">
      <c r="A10" s="74"/>
      <c r="B10" s="74"/>
      <c r="G10"/>
      <c r="H10"/>
    </row>
    <row r="11" spans="1:8" ht="12.75">
      <c r="A11" s="11">
        <v>1</v>
      </c>
      <c r="B11" s="12" t="s">
        <v>116</v>
      </c>
      <c r="C11" s="405">
        <v>405494</v>
      </c>
      <c r="D11" s="351">
        <f>C11/'- 3 -'!E11</f>
        <v>0.0016823132544025018</v>
      </c>
      <c r="E11" s="405">
        <v>4183405</v>
      </c>
      <c r="F11" s="351">
        <f>E11/'- 3 -'!E11</f>
        <v>0.017356108055935963</v>
      </c>
      <c r="G11"/>
      <c r="H11"/>
    </row>
    <row r="12" spans="1:8" ht="12.75">
      <c r="A12" s="13">
        <v>2</v>
      </c>
      <c r="B12" s="14" t="s">
        <v>117</v>
      </c>
      <c r="C12" s="406">
        <v>113975</v>
      </c>
      <c r="D12" s="352">
        <f>C12/'- 3 -'!E12</f>
        <v>0.0018966881652948883</v>
      </c>
      <c r="E12" s="406">
        <v>1002866</v>
      </c>
      <c r="F12" s="352">
        <f>E12/'- 3 -'!E12</f>
        <v>0.0166889587503981</v>
      </c>
      <c r="G12"/>
      <c r="H12"/>
    </row>
    <row r="13" spans="1:8" ht="12.75">
      <c r="A13" s="11">
        <v>3</v>
      </c>
      <c r="B13" s="12" t="s">
        <v>118</v>
      </c>
      <c r="C13" s="405">
        <v>41802</v>
      </c>
      <c r="D13" s="351">
        <f>C13/'- 3 -'!E13</f>
        <v>0.00099575039780469</v>
      </c>
      <c r="E13" s="405">
        <v>715305</v>
      </c>
      <c r="F13" s="351">
        <f>E13/'- 3 -'!E13</f>
        <v>0.01703902297262532</v>
      </c>
      <c r="G13"/>
      <c r="H13"/>
    </row>
    <row r="14" spans="1:8" ht="12.75">
      <c r="A14" s="13">
        <v>4</v>
      </c>
      <c r="B14" s="14" t="s">
        <v>119</v>
      </c>
      <c r="C14" s="406">
        <v>63794</v>
      </c>
      <c r="D14" s="352">
        <f>C14/'- 3 -'!E14</f>
        <v>0.0015347771505706534</v>
      </c>
      <c r="E14" s="406">
        <v>696435</v>
      </c>
      <c r="F14" s="352">
        <f>E14/'- 3 -'!E14</f>
        <v>0.01675506356174049</v>
      </c>
      <c r="G14"/>
      <c r="H14"/>
    </row>
    <row r="15" spans="1:8" ht="12.75">
      <c r="A15" s="11">
        <v>5</v>
      </c>
      <c r="B15" s="12" t="s">
        <v>120</v>
      </c>
      <c r="C15" s="405">
        <v>138654</v>
      </c>
      <c r="D15" s="351">
        <f>C15/'- 3 -'!E15</f>
        <v>0.002758862148739229</v>
      </c>
      <c r="E15" s="405">
        <v>842080</v>
      </c>
      <c r="F15" s="351">
        <f>E15/'- 3 -'!E15</f>
        <v>0.016755251476411284</v>
      </c>
      <c r="G15"/>
      <c r="H15"/>
    </row>
    <row r="16" spans="1:8" ht="12.75">
      <c r="A16" s="13">
        <v>6</v>
      </c>
      <c r="B16" s="14" t="s">
        <v>121</v>
      </c>
      <c r="C16" s="406">
        <v>113163</v>
      </c>
      <c r="D16" s="352">
        <f>C16/'- 3 -'!E16</f>
        <v>0.0019539093701197267</v>
      </c>
      <c r="E16" s="406">
        <v>956849</v>
      </c>
      <c r="F16" s="352">
        <f>E16/'- 3 -'!E16</f>
        <v>0.01652126778973419</v>
      </c>
      <c r="G16"/>
      <c r="H16"/>
    </row>
    <row r="17" spans="1:8" ht="12.75">
      <c r="A17" s="11">
        <v>9</v>
      </c>
      <c r="B17" s="12" t="s">
        <v>122</v>
      </c>
      <c r="C17" s="405">
        <v>0</v>
      </c>
      <c r="D17" s="351">
        <f>C17/'- 3 -'!E17</f>
        <v>0</v>
      </c>
      <c r="E17" s="405">
        <v>1396036</v>
      </c>
      <c r="F17" s="351">
        <f>E17/'- 3 -'!E17</f>
        <v>0.01712472026767063</v>
      </c>
      <c r="G17"/>
      <c r="H17"/>
    </row>
    <row r="18" spans="1:8" ht="12.75">
      <c r="A18" s="13">
        <v>10</v>
      </c>
      <c r="B18" s="14" t="s">
        <v>123</v>
      </c>
      <c r="C18" s="406">
        <v>62132.29</v>
      </c>
      <c r="D18" s="352">
        <f>C18/'- 3 -'!E18</f>
        <v>0.0010369032574090028</v>
      </c>
      <c r="E18" s="406">
        <v>1019778.43</v>
      </c>
      <c r="F18" s="352">
        <f>E18/'- 3 -'!E18</f>
        <v>0.017018712426379888</v>
      </c>
      <c r="G18"/>
      <c r="H18"/>
    </row>
    <row r="19" spans="1:8" ht="12.75">
      <c r="A19" s="11">
        <v>11</v>
      </c>
      <c r="B19" s="12" t="s">
        <v>124</v>
      </c>
      <c r="C19" s="405">
        <v>54289</v>
      </c>
      <c r="D19" s="351">
        <f>C19/'- 3 -'!E19</f>
        <v>0.0016793152771290894</v>
      </c>
      <c r="E19" s="405">
        <v>538455</v>
      </c>
      <c r="F19" s="351">
        <f>E19/'- 3 -'!E19</f>
        <v>0.016655965435844165</v>
      </c>
      <c r="G19"/>
      <c r="H19"/>
    </row>
    <row r="20" spans="1:8" ht="12.75">
      <c r="A20" s="13">
        <v>12</v>
      </c>
      <c r="B20" s="14" t="s">
        <v>125</v>
      </c>
      <c r="C20" s="406">
        <v>51703</v>
      </c>
      <c r="D20" s="352">
        <f>C20/'- 3 -'!E20</f>
        <v>0.00099815866821158</v>
      </c>
      <c r="E20" s="406">
        <v>925943</v>
      </c>
      <c r="F20" s="352">
        <f>E20/'- 3 -'!E20</f>
        <v>0.01787590723400644</v>
      </c>
      <c r="G20"/>
      <c r="H20"/>
    </row>
    <row r="21" spans="1:8" ht="12.75">
      <c r="A21" s="11">
        <v>13</v>
      </c>
      <c r="B21" s="12" t="s">
        <v>126</v>
      </c>
      <c r="C21" s="405">
        <v>87223</v>
      </c>
      <c r="D21" s="351">
        <f>C21/'- 3 -'!E21</f>
        <v>0.0044122542732821495</v>
      </c>
      <c r="E21" s="405">
        <v>313856</v>
      </c>
      <c r="F21" s="351">
        <f>E21/'- 3 -'!E21</f>
        <v>0.015876689373161234</v>
      </c>
      <c r="G21"/>
      <c r="H21"/>
    </row>
    <row r="22" spans="1:8" ht="12.75">
      <c r="A22" s="13">
        <v>14</v>
      </c>
      <c r="B22" s="14" t="s">
        <v>127</v>
      </c>
      <c r="C22" s="406">
        <v>16708</v>
      </c>
      <c r="D22" s="352">
        <f>C22/'- 3 -'!E22</f>
        <v>0.0007265837509160862</v>
      </c>
      <c r="E22" s="406">
        <v>358190</v>
      </c>
      <c r="F22" s="352">
        <f>E22/'- 3 -'!E22</f>
        <v>0.015576671878180088</v>
      </c>
      <c r="G22"/>
      <c r="H22"/>
    </row>
    <row r="23" spans="1:8" ht="12.75">
      <c r="A23" s="11">
        <v>15</v>
      </c>
      <c r="B23" s="12" t="s">
        <v>128</v>
      </c>
      <c r="C23" s="405">
        <v>68312</v>
      </c>
      <c r="D23" s="351">
        <f>C23/'- 3 -'!E23</f>
        <v>0.0021355920238926704</v>
      </c>
      <c r="E23" s="405">
        <v>527021</v>
      </c>
      <c r="F23" s="351">
        <f>E23/'- 3 -'!E23</f>
        <v>0.016475902389388966</v>
      </c>
      <c r="G23"/>
      <c r="H23"/>
    </row>
    <row r="24" spans="1:8" ht="12.75">
      <c r="A24" s="13">
        <v>16</v>
      </c>
      <c r="B24" s="14" t="s">
        <v>129</v>
      </c>
      <c r="C24" s="406">
        <v>19154</v>
      </c>
      <c r="D24" s="352">
        <f>C24/'- 3 -'!E24</f>
        <v>0.003099395179422683</v>
      </c>
      <c r="E24" s="406">
        <v>98212</v>
      </c>
      <c r="F24" s="352">
        <f>E24/'- 3 -'!E24</f>
        <v>0.01589212693753057</v>
      </c>
      <c r="G24"/>
      <c r="H24"/>
    </row>
    <row r="25" spans="1:8" ht="12.75">
      <c r="A25" s="11">
        <v>17</v>
      </c>
      <c r="B25" s="12" t="s">
        <v>130</v>
      </c>
      <c r="C25" s="405">
        <v>3505</v>
      </c>
      <c r="D25" s="351">
        <f>C25/'- 3 -'!E25</f>
        <v>0.0008419598991195118</v>
      </c>
      <c r="E25" s="405">
        <v>64653</v>
      </c>
      <c r="F25" s="351">
        <f>E25/'- 3 -'!E25</f>
        <v>0.015530737049293522</v>
      </c>
      <c r="G25"/>
      <c r="H25"/>
    </row>
    <row r="26" spans="1:8" ht="12.75">
      <c r="A26" s="13">
        <v>18</v>
      </c>
      <c r="B26" s="14" t="s">
        <v>131</v>
      </c>
      <c r="C26" s="406">
        <v>55897</v>
      </c>
      <c r="D26" s="352">
        <f>C26/'- 3 -'!E26</f>
        <v>0.005820255687434021</v>
      </c>
      <c r="E26" s="406">
        <v>154231</v>
      </c>
      <c r="F26" s="352">
        <f>E26/'- 3 -'!E26</f>
        <v>0.016059249242868785</v>
      </c>
      <c r="G26"/>
      <c r="H26"/>
    </row>
    <row r="27" spans="1:8" ht="12.75">
      <c r="A27" s="11">
        <v>19</v>
      </c>
      <c r="B27" s="12" t="s">
        <v>132</v>
      </c>
      <c r="C27" s="405">
        <v>47496</v>
      </c>
      <c r="D27" s="351">
        <f>C27/'- 3 -'!E27</f>
        <v>0.0032311434861553496</v>
      </c>
      <c r="E27" s="405">
        <v>227631</v>
      </c>
      <c r="F27" s="351">
        <f>E27/'- 3 -'!E27</f>
        <v>0.015485691908729754</v>
      </c>
      <c r="G27"/>
      <c r="H27"/>
    </row>
    <row r="28" spans="1:8" ht="12.75">
      <c r="A28" s="13">
        <v>20</v>
      </c>
      <c r="B28" s="14" t="s">
        <v>133</v>
      </c>
      <c r="C28" s="406">
        <v>22222</v>
      </c>
      <c r="D28" s="352">
        <f>C28/'- 3 -'!E28</f>
        <v>0.002939767572889951</v>
      </c>
      <c r="E28" s="406">
        <v>124674</v>
      </c>
      <c r="F28" s="352">
        <f>E28/'- 3 -'!E28</f>
        <v>0.016493231139523074</v>
      </c>
      <c r="G28"/>
      <c r="H28"/>
    </row>
    <row r="29" spans="1:8" ht="12.75">
      <c r="A29" s="11">
        <v>21</v>
      </c>
      <c r="B29" s="12" t="s">
        <v>134</v>
      </c>
      <c r="C29" s="405">
        <v>55461</v>
      </c>
      <c r="D29" s="351">
        <f>C29/'- 3 -'!E29</f>
        <v>0.002486427560274831</v>
      </c>
      <c r="E29" s="405">
        <v>363354</v>
      </c>
      <c r="F29" s="351">
        <f>E29/'- 3 -'!E29</f>
        <v>0.016289886582212743</v>
      </c>
      <c r="G29"/>
      <c r="H29"/>
    </row>
    <row r="30" spans="1:8" ht="12.75">
      <c r="A30" s="13">
        <v>22</v>
      </c>
      <c r="B30" s="14" t="s">
        <v>135</v>
      </c>
      <c r="C30" s="406">
        <v>67539</v>
      </c>
      <c r="D30" s="352">
        <f>C30/'- 3 -'!E30</f>
        <v>0.005737405575423832</v>
      </c>
      <c r="E30" s="406">
        <v>178454</v>
      </c>
      <c r="F30" s="352">
        <f>E30/'- 3 -'!E30</f>
        <v>0.015159581494494805</v>
      </c>
      <c r="G30"/>
      <c r="H30"/>
    </row>
    <row r="31" spans="1:8" ht="12.75">
      <c r="A31" s="11">
        <v>23</v>
      </c>
      <c r="B31" s="12" t="s">
        <v>136</v>
      </c>
      <c r="C31" s="405">
        <v>26491</v>
      </c>
      <c r="D31" s="351">
        <f>C31/'- 3 -'!E31</f>
        <v>0.002619158823987702</v>
      </c>
      <c r="E31" s="405">
        <v>163520</v>
      </c>
      <c r="F31" s="351">
        <f>E31/'- 3 -'!E31</f>
        <v>0.016167183228208412</v>
      </c>
      <c r="G31"/>
      <c r="H31"/>
    </row>
    <row r="32" spans="1:8" ht="12.75">
      <c r="A32" s="13">
        <v>24</v>
      </c>
      <c r="B32" s="14" t="s">
        <v>137</v>
      </c>
      <c r="C32" s="406">
        <v>18745</v>
      </c>
      <c r="D32" s="352">
        <f>C32/'- 3 -'!E32</f>
        <v>0.000824638772363845</v>
      </c>
      <c r="E32" s="406">
        <v>370388</v>
      </c>
      <c r="F32" s="352">
        <f>E32/'- 3 -'!E32</f>
        <v>0.016294281441360352</v>
      </c>
      <c r="G32"/>
      <c r="H32"/>
    </row>
    <row r="33" spans="1:8" ht="12.75">
      <c r="A33" s="11">
        <v>25</v>
      </c>
      <c r="B33" s="12" t="s">
        <v>138</v>
      </c>
      <c r="C33" s="405">
        <v>25323</v>
      </c>
      <c r="D33" s="351">
        <f>C33/'- 3 -'!E33</f>
        <v>0.0024098217723490674</v>
      </c>
      <c r="E33" s="405">
        <v>164071</v>
      </c>
      <c r="F33" s="351">
        <f>E33/'- 3 -'!E33</f>
        <v>0.015613547684361405</v>
      </c>
      <c r="G33"/>
      <c r="H33"/>
    </row>
    <row r="34" spans="1:8" ht="12.75">
      <c r="A34" s="13">
        <v>26</v>
      </c>
      <c r="B34" s="14" t="s">
        <v>139</v>
      </c>
      <c r="C34" s="406">
        <v>27405</v>
      </c>
      <c r="D34" s="352">
        <f>C34/'- 3 -'!E34</f>
        <v>0.0016896464961121485</v>
      </c>
      <c r="E34" s="406">
        <v>280803</v>
      </c>
      <c r="F34" s="352">
        <f>E34/'- 3 -'!E34</f>
        <v>0.017312819012872818</v>
      </c>
      <c r="G34"/>
      <c r="H34"/>
    </row>
    <row r="35" spans="1:8" ht="12.75">
      <c r="A35" s="11">
        <v>28</v>
      </c>
      <c r="B35" s="12" t="s">
        <v>140</v>
      </c>
      <c r="C35" s="405">
        <v>4153</v>
      </c>
      <c r="D35" s="351">
        <f>C35/'- 3 -'!E35</f>
        <v>0.0006520054151145625</v>
      </c>
      <c r="E35" s="405">
        <v>102162</v>
      </c>
      <c r="F35" s="351">
        <f>E35/'- 3 -'!E35</f>
        <v>0.016039050618573063</v>
      </c>
      <c r="G35"/>
      <c r="H35"/>
    </row>
    <row r="36" spans="1:8" ht="12.75">
      <c r="A36" s="13">
        <v>30</v>
      </c>
      <c r="B36" s="14" t="s">
        <v>141</v>
      </c>
      <c r="C36" s="406">
        <v>2279</v>
      </c>
      <c r="D36" s="352">
        <f>C36/'- 3 -'!E36</f>
        <v>0.00024667310607224977</v>
      </c>
      <c r="E36" s="406">
        <v>151208</v>
      </c>
      <c r="F36" s="352">
        <f>E36/'- 3 -'!E36</f>
        <v>0.016366365521269306</v>
      </c>
      <c r="G36"/>
      <c r="H36"/>
    </row>
    <row r="37" spans="1:8" ht="12.75">
      <c r="A37" s="11">
        <v>31</v>
      </c>
      <c r="B37" s="12" t="s">
        <v>142</v>
      </c>
      <c r="C37" s="405">
        <v>11546</v>
      </c>
      <c r="D37" s="351">
        <f>C37/'- 3 -'!E37</f>
        <v>0.0010731348960120574</v>
      </c>
      <c r="E37" s="405">
        <v>174285</v>
      </c>
      <c r="F37" s="351">
        <f>E37/'- 3 -'!E37</f>
        <v>0.01619879744945968</v>
      </c>
      <c r="G37"/>
      <c r="H37"/>
    </row>
    <row r="38" spans="1:8" ht="12.75">
      <c r="A38" s="13">
        <v>32</v>
      </c>
      <c r="B38" s="14" t="s">
        <v>143</v>
      </c>
      <c r="C38" s="406">
        <v>6634</v>
      </c>
      <c r="D38" s="352">
        <f>C38/'- 3 -'!E38</f>
        <v>0.001045816162468616</v>
      </c>
      <c r="E38" s="406">
        <v>99040</v>
      </c>
      <c r="F38" s="352">
        <f>E38/'- 3 -'!E38</f>
        <v>0.015613149341406651</v>
      </c>
      <c r="G38"/>
      <c r="H38"/>
    </row>
    <row r="39" spans="1:8" ht="12.75">
      <c r="A39" s="11">
        <v>33</v>
      </c>
      <c r="B39" s="12" t="s">
        <v>144</v>
      </c>
      <c r="C39" s="405">
        <v>23893</v>
      </c>
      <c r="D39" s="351">
        <f>C39/'- 3 -'!E39</f>
        <v>0.0018377781751823415</v>
      </c>
      <c r="E39" s="405">
        <v>211924</v>
      </c>
      <c r="F39" s="351">
        <f>E39/'- 3 -'!E39</f>
        <v>0.016300560917312287</v>
      </c>
      <c r="G39"/>
      <c r="H39"/>
    </row>
    <row r="40" spans="1:8" ht="12.75">
      <c r="A40" s="13">
        <v>34</v>
      </c>
      <c r="B40" s="14" t="s">
        <v>145</v>
      </c>
      <c r="C40" s="406">
        <v>4303.87</v>
      </c>
      <c r="D40" s="352">
        <f>C40/'- 3 -'!E40</f>
        <v>0.0007435048403255693</v>
      </c>
      <c r="E40" s="406">
        <v>89334.59</v>
      </c>
      <c r="F40" s="352">
        <f>E40/'- 3 -'!E40</f>
        <v>0.015432784929261385</v>
      </c>
      <c r="G40"/>
      <c r="H40"/>
    </row>
    <row r="41" spans="1:8" ht="12.75">
      <c r="A41" s="11">
        <v>35</v>
      </c>
      <c r="B41" s="12" t="s">
        <v>146</v>
      </c>
      <c r="C41" s="405">
        <v>0</v>
      </c>
      <c r="D41" s="351">
        <f>C41/'- 3 -'!E41</f>
        <v>0</v>
      </c>
      <c r="E41" s="405">
        <v>217214</v>
      </c>
      <c r="F41" s="351">
        <f>E41/'- 3 -'!E41</f>
        <v>0.015605798868401478</v>
      </c>
      <c r="G41"/>
      <c r="H41"/>
    </row>
    <row r="42" spans="1:8" ht="12.75">
      <c r="A42" s="13">
        <v>36</v>
      </c>
      <c r="B42" s="14" t="s">
        <v>147</v>
      </c>
      <c r="C42" s="406">
        <v>21485</v>
      </c>
      <c r="D42" s="352">
        <f>C42/'- 3 -'!E42</f>
        <v>0.002681043545655269</v>
      </c>
      <c r="E42" s="406">
        <v>105398</v>
      </c>
      <c r="F42" s="352">
        <f>E42/'- 3 -'!E42</f>
        <v>0.013152274965090716</v>
      </c>
      <c r="G42"/>
      <c r="H42"/>
    </row>
    <row r="43" spans="1:8" ht="12.75">
      <c r="A43" s="11">
        <v>37</v>
      </c>
      <c r="B43" s="12" t="s">
        <v>148</v>
      </c>
      <c r="C43" s="405">
        <v>1033</v>
      </c>
      <c r="D43" s="351">
        <f>C43/'- 3 -'!E43</f>
        <v>0.00015031118620765976</v>
      </c>
      <c r="E43" s="405">
        <v>97465</v>
      </c>
      <c r="F43" s="351">
        <f>E43/'- 3 -'!E43</f>
        <v>0.01418207140728902</v>
      </c>
      <c r="G43"/>
      <c r="H43"/>
    </row>
    <row r="44" spans="1:8" ht="12.75">
      <c r="A44" s="13">
        <v>38</v>
      </c>
      <c r="B44" s="14" t="s">
        <v>149</v>
      </c>
      <c r="C44" s="406">
        <v>42196</v>
      </c>
      <c r="D44" s="352">
        <f>C44/'- 3 -'!E44</f>
        <v>0.0047232453159322335</v>
      </c>
      <c r="E44" s="406">
        <v>142797</v>
      </c>
      <c r="F44" s="352">
        <f>E44/'- 3 -'!E44</f>
        <v>0.015984104213176014</v>
      </c>
      <c r="G44"/>
      <c r="H44"/>
    </row>
    <row r="45" spans="1:8" ht="12.75">
      <c r="A45" s="11">
        <v>39</v>
      </c>
      <c r="B45" s="12" t="s">
        <v>150</v>
      </c>
      <c r="C45" s="405">
        <v>89227</v>
      </c>
      <c r="D45" s="351">
        <f>C45/'- 3 -'!E45</f>
        <v>0.005979515900933856</v>
      </c>
      <c r="E45" s="405">
        <v>232469</v>
      </c>
      <c r="F45" s="351">
        <f>E45/'- 3 -'!E45</f>
        <v>0.01557882795537441</v>
      </c>
      <c r="G45"/>
      <c r="H45"/>
    </row>
    <row r="46" spans="1:8" ht="12.75">
      <c r="A46" s="13">
        <v>40</v>
      </c>
      <c r="B46" s="14" t="s">
        <v>151</v>
      </c>
      <c r="C46" s="406">
        <v>20055</v>
      </c>
      <c r="D46" s="352">
        <f>C46/'- 3 -'!E46</f>
        <v>0.0004476646137339664</v>
      </c>
      <c r="E46" s="406">
        <v>759249</v>
      </c>
      <c r="F46" s="352">
        <f>E46/'- 3 -'!E46</f>
        <v>0.016947838958509112</v>
      </c>
      <c r="G46"/>
      <c r="H46"/>
    </row>
    <row r="47" spans="1:8" ht="12.75">
      <c r="A47" s="11">
        <v>41</v>
      </c>
      <c r="B47" s="12" t="s">
        <v>152</v>
      </c>
      <c r="C47" s="405">
        <v>38302</v>
      </c>
      <c r="D47" s="351">
        <f>C47/'- 3 -'!E47</f>
        <v>0.003120712554280657</v>
      </c>
      <c r="E47" s="405">
        <v>192999</v>
      </c>
      <c r="F47" s="351">
        <f>E47/'- 3 -'!E47</f>
        <v>0.01572488126634673</v>
      </c>
      <c r="G47"/>
      <c r="H47"/>
    </row>
    <row r="48" spans="1:8" ht="12.75">
      <c r="A48" s="13">
        <v>42</v>
      </c>
      <c r="B48" s="14" t="s">
        <v>153</v>
      </c>
      <c r="C48" s="406">
        <v>30993</v>
      </c>
      <c r="D48" s="352">
        <f>C48/'- 3 -'!E48</f>
        <v>0.004009855604831854</v>
      </c>
      <c r="E48" s="406">
        <v>124690</v>
      </c>
      <c r="F48" s="352">
        <f>E48/'- 3 -'!E48</f>
        <v>0.016132316825298743</v>
      </c>
      <c r="G48"/>
      <c r="H48"/>
    </row>
    <row r="49" spans="1:8" ht="12.75">
      <c r="A49" s="11">
        <v>43</v>
      </c>
      <c r="B49" s="12" t="s">
        <v>154</v>
      </c>
      <c r="C49" s="405">
        <v>24708</v>
      </c>
      <c r="D49" s="351">
        <f>C49/'- 3 -'!E49</f>
        <v>0.0038858526842233563</v>
      </c>
      <c r="E49" s="405">
        <v>98212</v>
      </c>
      <c r="F49" s="351">
        <f>E49/'- 3 -'!E49</f>
        <v>0.015445902696411861</v>
      </c>
      <c r="G49"/>
      <c r="H49"/>
    </row>
    <row r="50" spans="1:8" ht="12.75">
      <c r="A50" s="13">
        <v>44</v>
      </c>
      <c r="B50" s="14" t="s">
        <v>155</v>
      </c>
      <c r="C50" s="406">
        <v>29675</v>
      </c>
      <c r="D50" s="352">
        <f>C50/'- 3 -'!E50</f>
        <v>0.0032077425988433317</v>
      </c>
      <c r="E50" s="406">
        <v>140592</v>
      </c>
      <c r="F50" s="352">
        <f>E50/'- 3 -'!E50</f>
        <v>0.015197403452622804</v>
      </c>
      <c r="G50"/>
      <c r="H50"/>
    </row>
    <row r="51" spans="1:8" ht="12.75">
      <c r="A51" s="11">
        <v>45</v>
      </c>
      <c r="B51" s="12" t="s">
        <v>156</v>
      </c>
      <c r="C51" s="405">
        <v>15547</v>
      </c>
      <c r="D51" s="351">
        <f>C51/'- 3 -'!E51</f>
        <v>0.001289201143074543</v>
      </c>
      <c r="E51" s="405">
        <v>206692</v>
      </c>
      <c r="F51" s="351">
        <f>E51/'- 3 -'!E51</f>
        <v>0.017139484316225858</v>
      </c>
      <c r="G51"/>
      <c r="H51"/>
    </row>
    <row r="52" spans="1:8" ht="12.75">
      <c r="A52" s="13">
        <v>46</v>
      </c>
      <c r="B52" s="14" t="s">
        <v>157</v>
      </c>
      <c r="C52" s="406">
        <v>54290</v>
      </c>
      <c r="D52" s="352">
        <f>C52/'- 3 -'!E52</f>
        <v>0.00496289957864041</v>
      </c>
      <c r="E52" s="406">
        <v>172735</v>
      </c>
      <c r="F52" s="352">
        <f>E52/'- 3 -'!E52</f>
        <v>0.015790503936571214</v>
      </c>
      <c r="G52"/>
      <c r="H52"/>
    </row>
    <row r="53" spans="1:8" ht="12.75">
      <c r="A53" s="11">
        <v>47</v>
      </c>
      <c r="B53" s="12" t="s">
        <v>158</v>
      </c>
      <c r="C53" s="405">
        <v>21831</v>
      </c>
      <c r="D53" s="351">
        <f>C53/'- 3 -'!E53</f>
        <v>0.00237055495157253</v>
      </c>
      <c r="E53" s="405">
        <v>152070</v>
      </c>
      <c r="F53" s="351">
        <f>E53/'- 3 -'!E53</f>
        <v>0.01651277044045782</v>
      </c>
      <c r="G53"/>
      <c r="H53"/>
    </row>
    <row r="54" spans="1:8" ht="12.75">
      <c r="A54" s="13">
        <v>48</v>
      </c>
      <c r="B54" s="14" t="s">
        <v>159</v>
      </c>
      <c r="C54" s="406">
        <v>105482</v>
      </c>
      <c r="D54" s="352">
        <f>C54/'- 3 -'!E54</f>
        <v>0.0017759616962564034</v>
      </c>
      <c r="E54" s="406">
        <v>870467</v>
      </c>
      <c r="F54" s="352">
        <f>E54/'- 3 -'!E54</f>
        <v>0.01465573320429289</v>
      </c>
      <c r="G54"/>
      <c r="H54"/>
    </row>
    <row r="55" spans="1:8" ht="12.75">
      <c r="A55" s="11">
        <v>49</v>
      </c>
      <c r="B55" s="12" t="s">
        <v>160</v>
      </c>
      <c r="C55" s="405">
        <v>36644</v>
      </c>
      <c r="D55" s="351">
        <f>C55/'- 3 -'!E55</f>
        <v>0.0010116095194984533</v>
      </c>
      <c r="E55" s="405">
        <v>561393</v>
      </c>
      <c r="F55" s="351">
        <f>E55/'- 3 -'!E55</f>
        <v>0.015498048875117213</v>
      </c>
      <c r="G55"/>
      <c r="H55"/>
    </row>
    <row r="56" spans="1:8" ht="12.75">
      <c r="A56" s="13">
        <v>50</v>
      </c>
      <c r="B56" s="14" t="s">
        <v>343</v>
      </c>
      <c r="C56" s="406">
        <v>16174</v>
      </c>
      <c r="D56" s="352">
        <f>C56/'- 3 -'!E56</f>
        <v>0.0011220849829175848</v>
      </c>
      <c r="E56" s="406">
        <v>229132</v>
      </c>
      <c r="F56" s="352">
        <f>E56/'- 3 -'!E56</f>
        <v>0.015896227049948808</v>
      </c>
      <c r="G56"/>
      <c r="H56"/>
    </row>
    <row r="57" spans="1:8" ht="12.75">
      <c r="A57" s="11">
        <v>2264</v>
      </c>
      <c r="B57" s="12" t="s">
        <v>161</v>
      </c>
      <c r="C57" s="405">
        <v>7185.49</v>
      </c>
      <c r="D57" s="351">
        <f>C57/'- 3 -'!E57</f>
        <v>0.003413144500180119</v>
      </c>
      <c r="E57" s="405">
        <v>12425</v>
      </c>
      <c r="F57" s="351">
        <f>E57/'- 3 -'!E57</f>
        <v>0.005901938547647826</v>
      </c>
      <c r="G57"/>
      <c r="H57"/>
    </row>
    <row r="58" spans="1:8" ht="12.75">
      <c r="A58" s="13">
        <v>2309</v>
      </c>
      <c r="B58" s="14" t="s">
        <v>162</v>
      </c>
      <c r="C58" s="406">
        <v>330</v>
      </c>
      <c r="D58" s="352">
        <f>C58/'- 3 -'!E58</f>
        <v>0.0001456841726066077</v>
      </c>
      <c r="E58" s="406">
        <v>21169</v>
      </c>
      <c r="F58" s="352">
        <f>E58/'- 3 -'!E58</f>
        <v>0.009345418939119025</v>
      </c>
      <c r="G58"/>
      <c r="H58"/>
    </row>
    <row r="59" spans="1:8" ht="12.75">
      <c r="A59" s="11">
        <v>2312</v>
      </c>
      <c r="B59" s="12" t="s">
        <v>163</v>
      </c>
      <c r="C59" s="405">
        <v>2013</v>
      </c>
      <c r="D59" s="351">
        <f>C59/'- 3 -'!E59</f>
        <v>0.0009993084765485185</v>
      </c>
      <c r="E59" s="405">
        <v>11836</v>
      </c>
      <c r="F59" s="351">
        <f>E59/'- 3 -'!E59</f>
        <v>0.0058757154140229835</v>
      </c>
      <c r="G59"/>
      <c r="H59"/>
    </row>
    <row r="60" spans="1:8" ht="12.75">
      <c r="A60" s="13">
        <v>2355</v>
      </c>
      <c r="B60" s="14" t="s">
        <v>164</v>
      </c>
      <c r="C60" s="406">
        <v>107156</v>
      </c>
      <c r="D60" s="352">
        <f>C60/'- 3 -'!E60</f>
        <v>0.004307760740399662</v>
      </c>
      <c r="E60" s="406">
        <v>423745</v>
      </c>
      <c r="F60" s="352">
        <f>E60/'- 3 -'!E60</f>
        <v>0.017034903084667725</v>
      </c>
      <c r="G60"/>
      <c r="H60"/>
    </row>
    <row r="61" spans="1:8" ht="12.75">
      <c r="A61" s="11">
        <v>2439</v>
      </c>
      <c r="B61" s="12" t="s">
        <v>165</v>
      </c>
      <c r="C61" s="405">
        <v>109.8</v>
      </c>
      <c r="D61" s="351">
        <f>C61/'- 3 -'!E61</f>
        <v>7.858674127874155E-05</v>
      </c>
      <c r="E61" s="405">
        <v>0</v>
      </c>
      <c r="F61" s="351">
        <f>E61/'- 3 -'!E61</f>
        <v>0</v>
      </c>
      <c r="G61"/>
      <c r="H61"/>
    </row>
    <row r="62" spans="1:8" ht="12.75">
      <c r="A62" s="13">
        <v>2460</v>
      </c>
      <c r="B62" s="14" t="s">
        <v>166</v>
      </c>
      <c r="C62" s="406">
        <v>3427</v>
      </c>
      <c r="D62" s="352">
        <f>C62/'- 3 -'!E62</f>
        <v>0.0010370656398698023</v>
      </c>
      <c r="E62" s="406">
        <v>44183</v>
      </c>
      <c r="F62" s="352">
        <f>E62/'- 3 -'!E62</f>
        <v>0.013370490565032821</v>
      </c>
      <c r="G62"/>
      <c r="H62"/>
    </row>
    <row r="63" spans="1:8" ht="12.75">
      <c r="A63" s="11">
        <v>3000</v>
      </c>
      <c r="B63" s="12" t="s">
        <v>366</v>
      </c>
      <c r="C63" s="405">
        <v>12261</v>
      </c>
      <c r="D63" s="351">
        <f>C63/'- 3 -'!E63</f>
        <v>0.0021261026307073656</v>
      </c>
      <c r="E63" s="405">
        <v>71929</v>
      </c>
      <c r="F63" s="351">
        <f>E63/'- 3 -'!E63</f>
        <v>0.012472753945367433</v>
      </c>
      <c r="G63"/>
      <c r="H63"/>
    </row>
    <row r="64" spans="1:8" ht="4.5" customHeight="1">
      <c r="A64" s="15"/>
      <c r="B64" s="15"/>
      <c r="C64" s="412"/>
      <c r="D64" s="194"/>
      <c r="E64" s="412"/>
      <c r="F64" s="194"/>
      <c r="G64"/>
      <c r="H64"/>
    </row>
    <row r="65" spans="1:8" ht="12.75">
      <c r="A65" s="17"/>
      <c r="B65" s="18" t="s">
        <v>167</v>
      </c>
      <c r="C65" s="407">
        <f>SUM(C11:C63)</f>
        <v>2319420.45</v>
      </c>
      <c r="D65" s="100">
        <f>C65/'- 3 -'!E65</f>
        <v>0.0017875221634429644</v>
      </c>
      <c r="E65" s="407">
        <f>SUM(E11:E63)</f>
        <v>21383025.02</v>
      </c>
      <c r="F65" s="100">
        <f>E65/'- 3 -'!E65</f>
        <v>0.01647938869587247</v>
      </c>
      <c r="G65"/>
      <c r="H65"/>
    </row>
    <row r="66" spans="1:8" ht="4.5" customHeight="1">
      <c r="A66" s="15"/>
      <c r="B66" s="15"/>
      <c r="C66" s="412"/>
      <c r="D66" s="194"/>
      <c r="E66" s="412"/>
      <c r="F66" s="194"/>
      <c r="G66"/>
      <c r="H66"/>
    </row>
    <row r="67" spans="1:8" ht="12.75">
      <c r="A67" s="13">
        <v>2155</v>
      </c>
      <c r="B67" s="14" t="s">
        <v>168</v>
      </c>
      <c r="C67" s="406">
        <v>0</v>
      </c>
      <c r="D67" s="352">
        <f>C67/'- 3 -'!E67</f>
        <v>0</v>
      </c>
      <c r="E67" s="406">
        <v>0</v>
      </c>
      <c r="F67" s="352">
        <f>E67/'- 3 -'!E67</f>
        <v>0</v>
      </c>
      <c r="G67"/>
      <c r="H67"/>
    </row>
    <row r="68" spans="1:8" ht="12.75">
      <c r="A68" s="11">
        <v>2408</v>
      </c>
      <c r="B68" s="12" t="s">
        <v>170</v>
      </c>
      <c r="C68" s="405">
        <v>21</v>
      </c>
      <c r="D68" s="351">
        <f>C68/'- 3 -'!E68</f>
        <v>9.795123334595815E-06</v>
      </c>
      <c r="E68" s="405">
        <v>23058</v>
      </c>
      <c r="F68" s="351">
        <f>E68/'- 3 -'!E68</f>
        <v>0.010755045421386207</v>
      </c>
      <c r="G68"/>
      <c r="H68"/>
    </row>
    <row r="69" ht="6.75" customHeight="1"/>
    <row r="70" spans="1:8" ht="12" customHeight="1">
      <c r="A70" s="4"/>
      <c r="B70" s="4"/>
      <c r="C70" s="15"/>
      <c r="D70" s="126"/>
      <c r="E70" s="15"/>
      <c r="F70" s="15"/>
      <c r="G70" s="15"/>
      <c r="H70" s="15"/>
    </row>
    <row r="71" spans="1:8" ht="12" customHeight="1">
      <c r="A71" s="4"/>
      <c r="B71" s="4"/>
      <c r="C71" s="15"/>
      <c r="D71" s="15"/>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3:8" ht="12" customHeight="1">
      <c r="C74" s="15"/>
      <c r="D74" s="15"/>
      <c r="E74" s="15"/>
      <c r="F74" s="15"/>
      <c r="G74" s="15"/>
      <c r="H74" s="15"/>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5.83203125" style="79" customWidth="1"/>
    <col min="4" max="4" width="18.83203125" style="79" customWidth="1"/>
    <col min="5" max="5" width="10.83203125" style="79" customWidth="1"/>
    <col min="6" max="6" width="14.83203125" style="79" customWidth="1"/>
    <col min="7" max="7" width="11.83203125" style="79" customWidth="1"/>
    <col min="8" max="8" width="14.83203125" style="79" customWidth="1"/>
    <col min="9" max="9" width="11.83203125" style="79" customWidth="1"/>
    <col min="10" max="16384" width="15.83203125" style="79" customWidth="1"/>
  </cols>
  <sheetData>
    <row r="1" spans="1:9" ht="6.75" customHeight="1">
      <c r="A1" s="15"/>
      <c r="B1" s="77"/>
      <c r="C1" s="139"/>
      <c r="D1" s="139"/>
      <c r="E1" s="139"/>
      <c r="F1" s="139"/>
      <c r="G1" s="139"/>
      <c r="H1" s="139"/>
      <c r="I1" s="139"/>
    </row>
    <row r="2" spans="1:9" ht="12.75">
      <c r="A2" s="6"/>
      <c r="B2" s="80"/>
      <c r="C2" s="196" t="s">
        <v>9</v>
      </c>
      <c r="D2" s="196"/>
      <c r="E2" s="196"/>
      <c r="F2" s="196"/>
      <c r="G2" s="211"/>
      <c r="H2" s="211"/>
      <c r="I2" s="211"/>
    </row>
    <row r="3" spans="1:9" ht="12.75">
      <c r="A3" s="7"/>
      <c r="B3" s="83"/>
      <c r="C3" s="199" t="str">
        <f>YEAR</f>
        <v>OPERATING FUND ACTUAL 2001/2002</v>
      </c>
      <c r="D3" s="199"/>
      <c r="E3" s="199"/>
      <c r="F3" s="199"/>
      <c r="G3" s="212"/>
      <c r="H3" s="212"/>
      <c r="I3" s="212"/>
    </row>
    <row r="4" spans="1:9" ht="12.75">
      <c r="A4" s="8"/>
      <c r="C4" s="139"/>
      <c r="D4" s="139"/>
      <c r="E4" s="139"/>
      <c r="F4" s="139"/>
      <c r="G4" s="139"/>
      <c r="H4" s="139"/>
      <c r="I4" s="139"/>
    </row>
    <row r="5" spans="1:9" ht="12.75">
      <c r="A5" s="8"/>
      <c r="C5" s="54"/>
      <c r="D5" s="139"/>
      <c r="E5" s="139"/>
      <c r="F5" s="139"/>
      <c r="G5" s="139"/>
      <c r="H5" s="139"/>
      <c r="I5" s="139"/>
    </row>
    <row r="6" spans="1:9" ht="12.75">
      <c r="A6" s="8"/>
      <c r="C6" s="64" t="s">
        <v>33</v>
      </c>
      <c r="D6" s="62"/>
      <c r="E6" s="127"/>
      <c r="F6" s="127"/>
      <c r="G6" s="127"/>
      <c r="H6" s="127"/>
      <c r="I6" s="202"/>
    </row>
    <row r="7" spans="3:9" ht="12.75">
      <c r="C7" s="65" t="s">
        <v>71</v>
      </c>
      <c r="D7" s="66"/>
      <c r="E7" s="213"/>
      <c r="F7" s="213"/>
      <c r="G7" s="213"/>
      <c r="H7" s="213"/>
      <c r="I7" s="207"/>
    </row>
    <row r="8" spans="1:9" ht="12.75">
      <c r="A8" s="91"/>
      <c r="B8" s="43"/>
      <c r="C8" s="214"/>
      <c r="D8" s="204" t="s">
        <v>369</v>
      </c>
      <c r="E8" s="203" t="s">
        <v>76</v>
      </c>
      <c r="F8" s="209" t="s">
        <v>94</v>
      </c>
      <c r="G8" s="209" t="s">
        <v>95</v>
      </c>
      <c r="H8" s="209" t="s">
        <v>96</v>
      </c>
      <c r="I8" s="209" t="s">
        <v>95</v>
      </c>
    </row>
    <row r="9" spans="1:9" ht="12.75">
      <c r="A9" s="49" t="s">
        <v>101</v>
      </c>
      <c r="B9" s="50" t="s">
        <v>102</v>
      </c>
      <c r="C9" s="72" t="s">
        <v>103</v>
      </c>
      <c r="D9" s="73" t="s">
        <v>109</v>
      </c>
      <c r="E9" s="73" t="s">
        <v>105</v>
      </c>
      <c r="F9" s="73" t="s">
        <v>110</v>
      </c>
      <c r="G9" s="73" t="s">
        <v>111</v>
      </c>
      <c r="H9" s="73" t="s">
        <v>112</v>
      </c>
      <c r="I9" s="73" t="s">
        <v>111</v>
      </c>
    </row>
    <row r="10" spans="1:2" ht="4.5" customHeight="1">
      <c r="A10" s="74"/>
      <c r="B10" s="74"/>
    </row>
    <row r="11" spans="1:9" ht="12.75">
      <c r="A11" s="11">
        <v>1</v>
      </c>
      <c r="B11" s="12" t="s">
        <v>116</v>
      </c>
      <c r="C11" s="405">
        <v>2408169</v>
      </c>
      <c r="D11" s="405">
        <v>1905</v>
      </c>
      <c r="E11" s="405">
        <f ca="1">IF(AND(CELL("type",D11)="v",D11&gt;0),C11/D11,"")</f>
        <v>1264.1307086614174</v>
      </c>
      <c r="F11" s="405">
        <v>1041040</v>
      </c>
      <c r="G11" s="354">
        <f ca="1">IF(AND(CELL("type",F11)="v",F11&gt;0),C11/F11,"")</f>
        <v>2.313233881503112</v>
      </c>
      <c r="H11" s="405">
        <v>656020</v>
      </c>
      <c r="I11" s="354">
        <f ca="1">IF(AND(CELL("type",H11)="v",H11&gt;0),C11/H11,"")</f>
        <v>3.670877412274016</v>
      </c>
    </row>
    <row r="12" spans="1:9" ht="12.75">
      <c r="A12" s="13">
        <v>2</v>
      </c>
      <c r="B12" s="14" t="s">
        <v>117</v>
      </c>
      <c r="C12" s="406">
        <v>885836</v>
      </c>
      <c r="D12" s="406">
        <v>2215</v>
      </c>
      <c r="E12" s="406">
        <f aca="true" ca="1" t="shared" si="0" ref="E12:E63">IF(AND(CELL("type",D12)="v",D12&gt;0),C12/D12,"")</f>
        <v>399.92595936794584</v>
      </c>
      <c r="F12" s="406">
        <v>392459</v>
      </c>
      <c r="G12" s="355">
        <f aca="true" ca="1" t="shared" si="1" ref="G12:G63">IF(AND(CELL("type",F12)="v",F12&gt;0),C12/F12,"")</f>
        <v>2.257142784341804</v>
      </c>
      <c r="H12" s="406">
        <v>255792</v>
      </c>
      <c r="I12" s="355">
        <f aca="true" ca="1" t="shared" si="2" ref="I12:I63">IF(AND(CELL("type",H12)="v",H12&gt;0),C12/H12,"")</f>
        <v>3.463110652405079</v>
      </c>
    </row>
    <row r="13" spans="1:9" ht="12.75">
      <c r="A13" s="11">
        <v>3</v>
      </c>
      <c r="B13" s="12" t="s">
        <v>118</v>
      </c>
      <c r="C13" s="405">
        <v>526484</v>
      </c>
      <c r="D13" s="405">
        <v>659</v>
      </c>
      <c r="E13" s="405">
        <f ca="1" t="shared" si="0"/>
        <v>798.9135053110774</v>
      </c>
      <c r="F13" s="405">
        <v>183662</v>
      </c>
      <c r="G13" s="354">
        <f ca="1" t="shared" si="1"/>
        <v>2.8665918916270106</v>
      </c>
      <c r="H13" s="405">
        <v>117080</v>
      </c>
      <c r="I13" s="354">
        <f ca="1" t="shared" si="2"/>
        <v>4.496788520669628</v>
      </c>
    </row>
    <row r="14" spans="1:9" ht="12.75">
      <c r="A14" s="13">
        <v>4</v>
      </c>
      <c r="B14" s="14" t="s">
        <v>119</v>
      </c>
      <c r="C14" s="406">
        <v>434254</v>
      </c>
      <c r="D14" s="406">
        <v>1017</v>
      </c>
      <c r="E14" s="406">
        <f ca="1" t="shared" si="0"/>
        <v>426.99508357915437</v>
      </c>
      <c r="F14" s="406">
        <v>136964</v>
      </c>
      <c r="G14" s="355">
        <f ca="1" t="shared" si="1"/>
        <v>3.17057036885605</v>
      </c>
      <c r="H14" s="406">
        <v>86912</v>
      </c>
      <c r="I14" s="355">
        <f ca="1" t="shared" si="2"/>
        <v>4.996479197349043</v>
      </c>
    </row>
    <row r="15" spans="1:9" ht="12.75">
      <c r="A15" s="11">
        <v>5</v>
      </c>
      <c r="B15" s="12" t="s">
        <v>120</v>
      </c>
      <c r="C15" s="405">
        <v>453357</v>
      </c>
      <c r="D15" s="405">
        <v>712</v>
      </c>
      <c r="E15" s="405">
        <f ca="1" t="shared" si="0"/>
        <v>636.7373595505618</v>
      </c>
      <c r="F15" s="405">
        <v>171326</v>
      </c>
      <c r="G15" s="354">
        <f ca="1" t="shared" si="1"/>
        <v>2.646165789197203</v>
      </c>
      <c r="H15" s="405">
        <v>109422</v>
      </c>
      <c r="I15" s="354">
        <f ca="1" t="shared" si="2"/>
        <v>4.143197894390525</v>
      </c>
    </row>
    <row r="16" spans="1:9" ht="12.75">
      <c r="A16" s="13">
        <v>6</v>
      </c>
      <c r="B16" s="14" t="s">
        <v>121</v>
      </c>
      <c r="C16" s="406">
        <v>748207</v>
      </c>
      <c r="D16" s="406">
        <v>1066</v>
      </c>
      <c r="E16" s="406">
        <f ca="1" t="shared" si="0"/>
        <v>701.8827392120076</v>
      </c>
      <c r="F16" s="406">
        <v>319410</v>
      </c>
      <c r="G16" s="355">
        <f ca="1" t="shared" si="1"/>
        <v>2.34246579631195</v>
      </c>
      <c r="H16" s="406">
        <v>184080</v>
      </c>
      <c r="I16" s="355">
        <f ca="1" t="shared" si="2"/>
        <v>4.064575184702304</v>
      </c>
    </row>
    <row r="17" spans="1:9" ht="12.75">
      <c r="A17" s="11">
        <v>9</v>
      </c>
      <c r="B17" s="12" t="s">
        <v>122</v>
      </c>
      <c r="C17" s="405">
        <v>1387838</v>
      </c>
      <c r="D17" s="405">
        <v>2637</v>
      </c>
      <c r="E17" s="405">
        <f ca="1" t="shared" si="0"/>
        <v>526.2942737959803</v>
      </c>
      <c r="F17" s="405">
        <v>694395</v>
      </c>
      <c r="G17" s="354">
        <f ca="1" t="shared" si="1"/>
        <v>1.9986290223863938</v>
      </c>
      <c r="H17" s="405">
        <v>375960</v>
      </c>
      <c r="I17" s="354">
        <f ca="1" t="shared" si="2"/>
        <v>3.691451218214704</v>
      </c>
    </row>
    <row r="18" spans="1:9" ht="12.75">
      <c r="A18" s="13">
        <v>10</v>
      </c>
      <c r="B18" s="14" t="s">
        <v>123</v>
      </c>
      <c r="C18" s="406">
        <v>1499441.71</v>
      </c>
      <c r="D18" s="406">
        <v>3056</v>
      </c>
      <c r="E18" s="406">
        <f ca="1" t="shared" si="0"/>
        <v>490.65500981675393</v>
      </c>
      <c r="F18" s="406">
        <v>507200</v>
      </c>
      <c r="G18" s="355">
        <f ca="1" t="shared" si="1"/>
        <v>2.9563125197160884</v>
      </c>
      <c r="H18" s="406">
        <v>380200</v>
      </c>
      <c r="I18" s="355">
        <f ca="1" t="shared" si="2"/>
        <v>3.943823540241978</v>
      </c>
    </row>
    <row r="19" spans="1:9" ht="12.75">
      <c r="A19" s="11">
        <v>11</v>
      </c>
      <c r="B19" s="12" t="s">
        <v>124</v>
      </c>
      <c r="C19" s="405">
        <v>1438261</v>
      </c>
      <c r="D19" s="405">
        <v>3105</v>
      </c>
      <c r="E19" s="405">
        <f ca="1" t="shared" si="0"/>
        <v>463.2080515297907</v>
      </c>
      <c r="F19" s="405">
        <v>1033562</v>
      </c>
      <c r="G19" s="354">
        <f ca="1" t="shared" si="1"/>
        <v>1.3915575456528007</v>
      </c>
      <c r="H19" s="405">
        <v>685062</v>
      </c>
      <c r="I19" s="354">
        <f ca="1" t="shared" si="2"/>
        <v>2.099461070676815</v>
      </c>
    </row>
    <row r="20" spans="1:9" ht="12.75">
      <c r="A20" s="13">
        <v>12</v>
      </c>
      <c r="B20" s="14" t="s">
        <v>125</v>
      </c>
      <c r="C20" s="406">
        <v>1595759</v>
      </c>
      <c r="D20" s="406">
        <v>2699</v>
      </c>
      <c r="E20" s="406">
        <f ca="1" t="shared" si="0"/>
        <v>591.2408299370137</v>
      </c>
      <c r="F20" s="406">
        <v>1143502</v>
      </c>
      <c r="G20" s="355">
        <f ca="1" t="shared" si="1"/>
        <v>1.3955017131583505</v>
      </c>
      <c r="H20" s="406">
        <v>737196</v>
      </c>
      <c r="I20" s="355">
        <f ca="1" t="shared" si="2"/>
        <v>2.1646332861274344</v>
      </c>
    </row>
    <row r="21" spans="1:9" ht="12.75">
      <c r="A21" s="11">
        <v>13</v>
      </c>
      <c r="B21" s="12" t="s">
        <v>126</v>
      </c>
      <c r="C21" s="405">
        <v>1357311</v>
      </c>
      <c r="D21" s="405">
        <v>1803</v>
      </c>
      <c r="E21" s="405">
        <f ca="1" t="shared" si="0"/>
        <v>752.8069883527454</v>
      </c>
      <c r="F21" s="405">
        <v>1321324</v>
      </c>
      <c r="G21" s="354">
        <f ca="1" t="shared" si="1"/>
        <v>1.0272355606951815</v>
      </c>
      <c r="H21" s="405">
        <v>858230</v>
      </c>
      <c r="I21" s="354">
        <f ca="1" t="shared" si="2"/>
        <v>1.5815236008995257</v>
      </c>
    </row>
    <row r="22" spans="1:9" ht="12.75">
      <c r="A22" s="13">
        <v>14</v>
      </c>
      <c r="B22" s="14" t="s">
        <v>127</v>
      </c>
      <c r="C22" s="406">
        <v>1465303</v>
      </c>
      <c r="D22" s="406">
        <v>2136</v>
      </c>
      <c r="E22" s="406">
        <f ca="1" t="shared" si="0"/>
        <v>686.0032771535581</v>
      </c>
      <c r="F22" s="406">
        <v>1144180</v>
      </c>
      <c r="G22" s="355">
        <f ca="1" t="shared" si="1"/>
        <v>1.2806577636385883</v>
      </c>
      <c r="H22" s="406">
        <v>758480</v>
      </c>
      <c r="I22" s="355">
        <f ca="1" t="shared" si="2"/>
        <v>1.9318940512604155</v>
      </c>
    </row>
    <row r="23" spans="1:9" ht="12.75">
      <c r="A23" s="11">
        <v>15</v>
      </c>
      <c r="B23" s="12" t="s">
        <v>128</v>
      </c>
      <c r="C23" s="405">
        <v>1575583</v>
      </c>
      <c r="D23" s="405">
        <v>3964</v>
      </c>
      <c r="E23" s="405">
        <f ca="1" t="shared" si="0"/>
        <v>397.47300706357214</v>
      </c>
      <c r="F23" s="405">
        <v>1071980</v>
      </c>
      <c r="G23" s="354">
        <f ca="1" t="shared" si="1"/>
        <v>1.4697876826060188</v>
      </c>
      <c r="H23" s="405">
        <v>715540</v>
      </c>
      <c r="I23" s="354">
        <f ca="1" t="shared" si="2"/>
        <v>2.2019495765435892</v>
      </c>
    </row>
    <row r="24" spans="1:9" ht="12.75">
      <c r="A24" s="13">
        <v>16</v>
      </c>
      <c r="B24" s="14" t="s">
        <v>129</v>
      </c>
      <c r="C24" s="406">
        <v>557180.85</v>
      </c>
      <c r="D24" s="406">
        <v>582</v>
      </c>
      <c r="E24" s="406">
        <f ca="1" t="shared" si="0"/>
        <v>957.355412371134</v>
      </c>
      <c r="F24" s="406">
        <v>594656</v>
      </c>
      <c r="G24" s="355">
        <f ca="1" t="shared" si="1"/>
        <v>0.9369801195985578</v>
      </c>
      <c r="H24" s="406">
        <v>418008</v>
      </c>
      <c r="I24" s="355">
        <f ca="1" t="shared" si="2"/>
        <v>1.3329430297984728</v>
      </c>
    </row>
    <row r="25" spans="1:9" ht="12.75">
      <c r="A25" s="11">
        <v>17</v>
      </c>
      <c r="B25" s="12" t="s">
        <v>130</v>
      </c>
      <c r="C25" s="405">
        <v>341004</v>
      </c>
      <c r="D25" s="405">
        <v>422</v>
      </c>
      <c r="E25" s="405">
        <f ca="1" t="shared" si="0"/>
        <v>808.0663507109005</v>
      </c>
      <c r="F25" s="405">
        <v>437950</v>
      </c>
      <c r="G25" s="354">
        <f ca="1" t="shared" si="1"/>
        <v>0.7786368306884347</v>
      </c>
      <c r="H25" s="405">
        <v>295830</v>
      </c>
      <c r="I25" s="354">
        <f ca="1" t="shared" si="2"/>
        <v>1.1527025656627117</v>
      </c>
    </row>
    <row r="26" spans="1:9" ht="12.75">
      <c r="A26" s="13">
        <v>18</v>
      </c>
      <c r="B26" s="14" t="s">
        <v>131</v>
      </c>
      <c r="C26" s="406">
        <v>605638</v>
      </c>
      <c r="D26" s="406">
        <v>823</v>
      </c>
      <c r="E26" s="406">
        <f ca="1" t="shared" si="0"/>
        <v>735.8906439854192</v>
      </c>
      <c r="F26" s="406">
        <v>513240</v>
      </c>
      <c r="G26" s="355">
        <f ca="1" t="shared" si="1"/>
        <v>1.1800288364118152</v>
      </c>
      <c r="H26" s="406">
        <v>368550</v>
      </c>
      <c r="I26" s="355">
        <f ca="1" t="shared" si="2"/>
        <v>1.64329941663275</v>
      </c>
    </row>
    <row r="27" spans="1:9" ht="12.75">
      <c r="A27" s="11">
        <v>19</v>
      </c>
      <c r="B27" s="12" t="s">
        <v>132</v>
      </c>
      <c r="C27" s="405">
        <v>1007176.5</v>
      </c>
      <c r="D27" s="405">
        <v>1165</v>
      </c>
      <c r="E27" s="405">
        <f ca="1" t="shared" si="0"/>
        <v>864.5291845493563</v>
      </c>
      <c r="F27" s="405">
        <v>830300</v>
      </c>
      <c r="G27" s="354">
        <f ca="1" t="shared" si="1"/>
        <v>1.2130272190774418</v>
      </c>
      <c r="H27" s="405">
        <v>545870</v>
      </c>
      <c r="I27" s="354">
        <f ca="1" t="shared" si="2"/>
        <v>1.8450849103266345</v>
      </c>
    </row>
    <row r="28" spans="1:9" ht="12.75">
      <c r="A28" s="13">
        <v>20</v>
      </c>
      <c r="B28" s="14" t="s">
        <v>133</v>
      </c>
      <c r="C28" s="406">
        <v>457489</v>
      </c>
      <c r="D28" s="406">
        <v>560</v>
      </c>
      <c r="E28" s="406">
        <f ca="1" t="shared" si="0"/>
        <v>816.9446428571429</v>
      </c>
      <c r="F28" s="406">
        <v>420941</v>
      </c>
      <c r="G28" s="355">
        <f ca="1" t="shared" si="1"/>
        <v>1.086824519350693</v>
      </c>
      <c r="H28" s="406">
        <v>370637</v>
      </c>
      <c r="I28" s="355">
        <f ca="1" t="shared" si="2"/>
        <v>1.2343317046058542</v>
      </c>
    </row>
    <row r="29" spans="1:9" ht="12.75">
      <c r="A29" s="11">
        <v>21</v>
      </c>
      <c r="B29" s="12" t="s">
        <v>134</v>
      </c>
      <c r="C29" s="405">
        <v>1366668</v>
      </c>
      <c r="D29" s="405">
        <v>1971</v>
      </c>
      <c r="E29" s="405">
        <f ca="1" t="shared" si="0"/>
        <v>693.3881278538813</v>
      </c>
      <c r="F29" s="405">
        <v>1156074</v>
      </c>
      <c r="G29" s="354">
        <f ca="1" t="shared" si="1"/>
        <v>1.1821630795260512</v>
      </c>
      <c r="H29" s="405">
        <v>697224</v>
      </c>
      <c r="I29" s="354">
        <f ca="1" t="shared" si="2"/>
        <v>1.9601562768923617</v>
      </c>
    </row>
    <row r="30" spans="1:9" ht="12.75">
      <c r="A30" s="13">
        <v>22</v>
      </c>
      <c r="B30" s="14" t="s">
        <v>135</v>
      </c>
      <c r="C30" s="406">
        <v>791137</v>
      </c>
      <c r="D30" s="406">
        <v>1048</v>
      </c>
      <c r="E30" s="406">
        <f ca="1" t="shared" si="0"/>
        <v>754.9017175572519</v>
      </c>
      <c r="F30" s="406">
        <v>691410</v>
      </c>
      <c r="G30" s="355">
        <f ca="1" t="shared" si="1"/>
        <v>1.14423713860083</v>
      </c>
      <c r="H30" s="406">
        <v>512620</v>
      </c>
      <c r="I30" s="355">
        <f ca="1" t="shared" si="2"/>
        <v>1.543320588350045</v>
      </c>
    </row>
    <row r="31" spans="1:9" ht="12.75">
      <c r="A31" s="11">
        <v>23</v>
      </c>
      <c r="B31" s="12" t="s">
        <v>136</v>
      </c>
      <c r="C31" s="405">
        <v>1069633</v>
      </c>
      <c r="D31" s="405">
        <v>1012</v>
      </c>
      <c r="E31" s="405">
        <f ca="1" t="shared" si="0"/>
        <v>1056.949604743083</v>
      </c>
      <c r="F31" s="405">
        <v>1130181</v>
      </c>
      <c r="G31" s="354">
        <f ca="1" t="shared" si="1"/>
        <v>0.9464262803922557</v>
      </c>
      <c r="H31" s="405">
        <v>671365</v>
      </c>
      <c r="I31" s="354">
        <f ca="1" t="shared" si="2"/>
        <v>1.593221273077983</v>
      </c>
    </row>
    <row r="32" spans="1:9" ht="12.75">
      <c r="A32" s="13">
        <v>24</v>
      </c>
      <c r="B32" s="14" t="s">
        <v>137</v>
      </c>
      <c r="C32" s="406">
        <v>664696</v>
      </c>
      <c r="D32" s="406">
        <v>1004</v>
      </c>
      <c r="E32" s="406">
        <f ca="1" t="shared" si="0"/>
        <v>662.0478087649402</v>
      </c>
      <c r="F32" s="406">
        <v>713112</v>
      </c>
      <c r="G32" s="355">
        <f ca="1" t="shared" si="1"/>
        <v>0.9321060366394058</v>
      </c>
      <c r="H32" s="406">
        <v>440458</v>
      </c>
      <c r="I32" s="355">
        <f ca="1" t="shared" si="2"/>
        <v>1.509101889396946</v>
      </c>
    </row>
    <row r="33" spans="1:9" ht="12.75">
      <c r="A33" s="11">
        <v>25</v>
      </c>
      <c r="B33" s="12" t="s">
        <v>138</v>
      </c>
      <c r="C33" s="405">
        <v>803887</v>
      </c>
      <c r="D33" s="405">
        <v>922</v>
      </c>
      <c r="E33" s="405">
        <f ca="1" t="shared" si="0"/>
        <v>871.8947939262473</v>
      </c>
      <c r="F33" s="405">
        <v>825741</v>
      </c>
      <c r="G33" s="354">
        <f ca="1" t="shared" si="1"/>
        <v>0.9735340742436187</v>
      </c>
      <c r="H33" s="405">
        <v>526554</v>
      </c>
      <c r="I33" s="354">
        <f ca="1" t="shared" si="2"/>
        <v>1.5266943181516046</v>
      </c>
    </row>
    <row r="34" spans="1:9" ht="12.75">
      <c r="A34" s="13">
        <v>26</v>
      </c>
      <c r="B34" s="14" t="s">
        <v>139</v>
      </c>
      <c r="C34" s="406">
        <v>522014</v>
      </c>
      <c r="D34" s="406">
        <v>1596</v>
      </c>
      <c r="E34" s="406">
        <f ca="1" t="shared" si="0"/>
        <v>327.0764411027569</v>
      </c>
      <c r="F34" s="406">
        <v>434720</v>
      </c>
      <c r="G34" s="355">
        <f ca="1" t="shared" si="1"/>
        <v>1.2008051159366948</v>
      </c>
      <c r="H34" s="406">
        <v>287850</v>
      </c>
      <c r="I34" s="355">
        <f ca="1" t="shared" si="2"/>
        <v>1.813493138787563</v>
      </c>
    </row>
    <row r="35" spans="1:9" ht="12.75">
      <c r="A35" s="11">
        <v>28</v>
      </c>
      <c r="B35" s="12" t="s">
        <v>140</v>
      </c>
      <c r="C35" s="405">
        <v>423376</v>
      </c>
      <c r="D35" s="405">
        <v>501</v>
      </c>
      <c r="E35" s="405">
        <f ca="1" t="shared" si="0"/>
        <v>845.061876247505</v>
      </c>
      <c r="F35" s="405">
        <v>509733</v>
      </c>
      <c r="G35" s="354">
        <f ca="1" t="shared" si="1"/>
        <v>0.8305838546847075</v>
      </c>
      <c r="H35" s="405">
        <v>329049</v>
      </c>
      <c r="I35" s="354">
        <f ca="1" t="shared" si="2"/>
        <v>1.2866655118234671</v>
      </c>
    </row>
    <row r="36" spans="1:9" ht="12.75">
      <c r="A36" s="13">
        <v>30</v>
      </c>
      <c r="B36" s="14" t="s">
        <v>141</v>
      </c>
      <c r="C36" s="406">
        <v>809026</v>
      </c>
      <c r="D36" s="406">
        <v>852</v>
      </c>
      <c r="E36" s="406">
        <f ca="1" t="shared" si="0"/>
        <v>949.5610328638497</v>
      </c>
      <c r="F36" s="406">
        <v>966546</v>
      </c>
      <c r="G36" s="355">
        <f ca="1" t="shared" si="1"/>
        <v>0.8370279324522578</v>
      </c>
      <c r="H36" s="406">
        <v>613116</v>
      </c>
      <c r="I36" s="355">
        <f ca="1" t="shared" si="2"/>
        <v>1.319531703625415</v>
      </c>
    </row>
    <row r="37" spans="1:9" ht="12.75">
      <c r="A37" s="11">
        <v>31</v>
      </c>
      <c r="B37" s="12" t="s">
        <v>142</v>
      </c>
      <c r="C37" s="405">
        <v>654954</v>
      </c>
      <c r="D37" s="405">
        <v>909</v>
      </c>
      <c r="E37" s="405">
        <f ca="1" t="shared" si="0"/>
        <v>720.5214521452145</v>
      </c>
      <c r="F37" s="405">
        <v>736274</v>
      </c>
      <c r="G37" s="354">
        <f ca="1" t="shared" si="1"/>
        <v>0.8895519874394586</v>
      </c>
      <c r="H37" s="405">
        <v>492735</v>
      </c>
      <c r="I37" s="354">
        <f ca="1" t="shared" si="2"/>
        <v>1.3292215896983166</v>
      </c>
    </row>
    <row r="38" spans="1:9" ht="12.75">
      <c r="A38" s="13">
        <v>32</v>
      </c>
      <c r="B38" s="14" t="s">
        <v>143</v>
      </c>
      <c r="C38" s="406">
        <v>601442</v>
      </c>
      <c r="D38" s="406">
        <v>558</v>
      </c>
      <c r="E38" s="406">
        <f ca="1" t="shared" si="0"/>
        <v>1077.853046594982</v>
      </c>
      <c r="F38" s="406">
        <v>730831</v>
      </c>
      <c r="G38" s="355">
        <f ca="1" t="shared" si="1"/>
        <v>0.8229563332699352</v>
      </c>
      <c r="H38" s="406">
        <v>528922</v>
      </c>
      <c r="I38" s="355">
        <f ca="1" t="shared" si="2"/>
        <v>1.1371090633401522</v>
      </c>
    </row>
    <row r="39" spans="1:9" ht="12.75">
      <c r="A39" s="11">
        <v>33</v>
      </c>
      <c r="B39" s="12" t="s">
        <v>144</v>
      </c>
      <c r="C39" s="405">
        <v>513519</v>
      </c>
      <c r="D39" s="405">
        <v>900</v>
      </c>
      <c r="E39" s="405">
        <f ca="1" t="shared" si="0"/>
        <v>570.5766666666667</v>
      </c>
      <c r="F39" s="405">
        <v>424536</v>
      </c>
      <c r="G39" s="354">
        <f ca="1" t="shared" si="1"/>
        <v>1.209600599242467</v>
      </c>
      <c r="H39" s="405">
        <v>372894</v>
      </c>
      <c r="I39" s="354">
        <f ca="1" t="shared" si="2"/>
        <v>1.3771178940932276</v>
      </c>
    </row>
    <row r="40" spans="1:9" ht="12.75">
      <c r="A40" s="13">
        <v>34</v>
      </c>
      <c r="B40" s="14" t="s">
        <v>145</v>
      </c>
      <c r="C40" s="406">
        <v>511971.13</v>
      </c>
      <c r="D40" s="406">
        <v>535</v>
      </c>
      <c r="E40" s="406">
        <f ca="1" t="shared" si="0"/>
        <v>956.9553831775701</v>
      </c>
      <c r="F40" s="406">
        <v>455430</v>
      </c>
      <c r="G40" s="355">
        <f ca="1" t="shared" si="1"/>
        <v>1.1241488922556704</v>
      </c>
      <c r="H40" s="406">
        <v>383770</v>
      </c>
      <c r="I40" s="355">
        <f ca="1" t="shared" si="2"/>
        <v>1.3340571957161842</v>
      </c>
    </row>
    <row r="41" spans="1:9" ht="12.75">
      <c r="A41" s="11">
        <v>35</v>
      </c>
      <c r="B41" s="12" t="s">
        <v>146</v>
      </c>
      <c r="C41" s="405">
        <v>946383</v>
      </c>
      <c r="D41" s="405">
        <v>1637</v>
      </c>
      <c r="E41" s="405">
        <f ca="1" t="shared" si="0"/>
        <v>578.1203420891875</v>
      </c>
      <c r="F41" s="405">
        <v>888113</v>
      </c>
      <c r="G41" s="354">
        <f ca="1" t="shared" si="1"/>
        <v>1.065611020219274</v>
      </c>
      <c r="H41" s="405">
        <v>706082</v>
      </c>
      <c r="I41" s="354">
        <f ca="1" t="shared" si="2"/>
        <v>1.3403301599530932</v>
      </c>
    </row>
    <row r="42" spans="1:9" ht="12.75">
      <c r="A42" s="13">
        <v>36</v>
      </c>
      <c r="B42" s="14" t="s">
        <v>147</v>
      </c>
      <c r="C42" s="406">
        <v>721634</v>
      </c>
      <c r="D42" s="406">
        <v>599</v>
      </c>
      <c r="E42" s="406">
        <f ca="1" t="shared" si="0"/>
        <v>1204.7312186978297</v>
      </c>
      <c r="F42" s="406">
        <v>594560</v>
      </c>
      <c r="G42" s="355">
        <f ca="1" t="shared" si="1"/>
        <v>1.2137277987082884</v>
      </c>
      <c r="H42" s="406">
        <v>540126</v>
      </c>
      <c r="I42" s="355">
        <f ca="1" t="shared" si="2"/>
        <v>1.3360475148391302</v>
      </c>
    </row>
    <row r="43" spans="1:9" ht="12.75">
      <c r="A43" s="11">
        <v>37</v>
      </c>
      <c r="B43" s="12" t="s">
        <v>148</v>
      </c>
      <c r="C43" s="405">
        <v>698083</v>
      </c>
      <c r="D43" s="405">
        <v>557</v>
      </c>
      <c r="E43" s="405">
        <f ca="1" t="shared" si="0"/>
        <v>1253.290843806104</v>
      </c>
      <c r="F43" s="405">
        <v>669940</v>
      </c>
      <c r="G43" s="354">
        <f ca="1" t="shared" si="1"/>
        <v>1.0420082395438397</v>
      </c>
      <c r="H43" s="405">
        <v>457216</v>
      </c>
      <c r="I43" s="354">
        <f ca="1" t="shared" si="2"/>
        <v>1.5268122725363942</v>
      </c>
    </row>
    <row r="44" spans="1:9" ht="12.75">
      <c r="A44" s="13">
        <v>38</v>
      </c>
      <c r="B44" s="14" t="s">
        <v>149</v>
      </c>
      <c r="C44" s="406">
        <v>965105</v>
      </c>
      <c r="D44" s="406">
        <v>667</v>
      </c>
      <c r="E44" s="406">
        <f ca="1" t="shared" si="0"/>
        <v>1446.9340329835084</v>
      </c>
      <c r="F44" s="406">
        <v>946580</v>
      </c>
      <c r="G44" s="355">
        <f ca="1" t="shared" si="1"/>
        <v>1.0195704536330792</v>
      </c>
      <c r="H44" s="406">
        <v>618450</v>
      </c>
      <c r="I44" s="355">
        <f ca="1" t="shared" si="2"/>
        <v>1.5605222734254993</v>
      </c>
    </row>
    <row r="45" spans="1:9" ht="12.75">
      <c r="A45" s="11">
        <v>39</v>
      </c>
      <c r="B45" s="12" t="s">
        <v>150</v>
      </c>
      <c r="C45" s="405">
        <v>934542</v>
      </c>
      <c r="D45" s="405">
        <v>1300</v>
      </c>
      <c r="E45" s="405">
        <f ca="1" t="shared" si="0"/>
        <v>718.8784615384616</v>
      </c>
      <c r="F45" s="405">
        <v>1185220</v>
      </c>
      <c r="G45" s="354">
        <f ca="1" t="shared" si="1"/>
        <v>0.7884966504108942</v>
      </c>
      <c r="H45" s="405">
        <v>776300</v>
      </c>
      <c r="I45" s="354">
        <f ca="1" t="shared" si="2"/>
        <v>1.2038412984670874</v>
      </c>
    </row>
    <row r="46" spans="1:9" ht="12.75">
      <c r="A46" s="13">
        <v>40</v>
      </c>
      <c r="B46" s="14" t="s">
        <v>151</v>
      </c>
      <c r="C46" s="406">
        <v>1164528</v>
      </c>
      <c r="D46" s="406">
        <v>1619</v>
      </c>
      <c r="E46" s="406">
        <f ca="1" t="shared" si="0"/>
        <v>719.2884496602841</v>
      </c>
      <c r="F46" s="406">
        <v>782208</v>
      </c>
      <c r="G46" s="355">
        <f ca="1" t="shared" si="1"/>
        <v>1.4887702503681886</v>
      </c>
      <c r="H46" s="406">
        <v>449126</v>
      </c>
      <c r="I46" s="355">
        <f ca="1" t="shared" si="2"/>
        <v>2.592875941272605</v>
      </c>
    </row>
    <row r="47" spans="1:9" ht="12.75">
      <c r="A47" s="11">
        <v>41</v>
      </c>
      <c r="B47" s="12" t="s">
        <v>152</v>
      </c>
      <c r="C47" s="405">
        <v>995030</v>
      </c>
      <c r="D47" s="405">
        <v>850</v>
      </c>
      <c r="E47" s="405">
        <f ca="1" t="shared" si="0"/>
        <v>1170.6235294117646</v>
      </c>
      <c r="F47" s="405">
        <v>1140133</v>
      </c>
      <c r="G47" s="354">
        <f ca="1" t="shared" si="1"/>
        <v>0.8727315146566234</v>
      </c>
      <c r="H47" s="405">
        <v>765434</v>
      </c>
      <c r="I47" s="354">
        <f ca="1" t="shared" si="2"/>
        <v>1.2999553194658193</v>
      </c>
    </row>
    <row r="48" spans="1:9" ht="12.75">
      <c r="A48" s="13">
        <v>42</v>
      </c>
      <c r="B48" s="14" t="s">
        <v>153</v>
      </c>
      <c r="C48" s="406">
        <v>636786</v>
      </c>
      <c r="D48" s="406">
        <v>521</v>
      </c>
      <c r="E48" s="406">
        <f ca="1" t="shared" si="0"/>
        <v>1222.2380038387716</v>
      </c>
      <c r="F48" s="406">
        <v>778620</v>
      </c>
      <c r="G48" s="355">
        <f ca="1" t="shared" si="1"/>
        <v>0.817839254064884</v>
      </c>
      <c r="H48" s="406">
        <v>490618</v>
      </c>
      <c r="I48" s="355">
        <f ca="1" t="shared" si="2"/>
        <v>1.2979262888846312</v>
      </c>
    </row>
    <row r="49" spans="1:9" ht="12.75">
      <c r="A49" s="11">
        <v>43</v>
      </c>
      <c r="B49" s="12" t="s">
        <v>154</v>
      </c>
      <c r="C49" s="405">
        <v>509312</v>
      </c>
      <c r="D49" s="405">
        <v>466</v>
      </c>
      <c r="E49" s="405">
        <f ca="1" t="shared" si="0"/>
        <v>1092.9442060085837</v>
      </c>
      <c r="F49" s="405">
        <v>624620</v>
      </c>
      <c r="G49" s="354">
        <f ca="1" t="shared" si="1"/>
        <v>0.8153949601357625</v>
      </c>
      <c r="H49" s="405">
        <v>412460</v>
      </c>
      <c r="I49" s="354">
        <f ca="1" t="shared" si="2"/>
        <v>1.2348154972603405</v>
      </c>
    </row>
    <row r="50" spans="1:9" ht="12.75">
      <c r="A50" s="13">
        <v>44</v>
      </c>
      <c r="B50" s="14" t="s">
        <v>155</v>
      </c>
      <c r="C50" s="406">
        <v>676224</v>
      </c>
      <c r="D50" s="406">
        <v>683</v>
      </c>
      <c r="E50" s="406">
        <f ca="1" t="shared" si="0"/>
        <v>990.0790629575403</v>
      </c>
      <c r="F50" s="406">
        <v>794101</v>
      </c>
      <c r="G50" s="355">
        <f ca="1" t="shared" si="1"/>
        <v>0.8515591845369795</v>
      </c>
      <c r="H50" s="406">
        <v>515660</v>
      </c>
      <c r="I50" s="355">
        <f ca="1" t="shared" si="2"/>
        <v>1.311375712678897</v>
      </c>
    </row>
    <row r="51" spans="1:9" ht="12.75">
      <c r="A51" s="11">
        <v>45</v>
      </c>
      <c r="B51" s="12" t="s">
        <v>156</v>
      </c>
      <c r="C51" s="405">
        <v>255887</v>
      </c>
      <c r="D51" s="405">
        <v>495</v>
      </c>
      <c r="E51" s="405">
        <f ca="1" t="shared" si="0"/>
        <v>516.9434343434343</v>
      </c>
      <c r="F51" s="405">
        <v>214472</v>
      </c>
      <c r="G51" s="354">
        <f ca="1" t="shared" si="1"/>
        <v>1.1931021298817561</v>
      </c>
      <c r="H51" s="405">
        <v>126578</v>
      </c>
      <c r="I51" s="354">
        <f ca="1" t="shared" si="2"/>
        <v>2.0215756292562688</v>
      </c>
    </row>
    <row r="52" spans="1:9" ht="12.75">
      <c r="A52" s="13">
        <v>46</v>
      </c>
      <c r="B52" s="14" t="s">
        <v>157</v>
      </c>
      <c r="C52" s="406">
        <v>146007</v>
      </c>
      <c r="D52" s="406">
        <v>56</v>
      </c>
      <c r="E52" s="416">
        <f ca="1" t="shared" si="0"/>
        <v>2607.2678571428573</v>
      </c>
      <c r="F52" s="406">
        <v>20080</v>
      </c>
      <c r="G52" s="366">
        <f ca="1" t="shared" si="1"/>
        <v>7.2712649402390435</v>
      </c>
      <c r="H52" s="406">
        <v>9880</v>
      </c>
      <c r="I52" s="355">
        <f ca="1">IF(AND(CELL("type",H52)="v",H52&gt;0),C52/H52,"")</f>
        <v>14.778036437246964</v>
      </c>
    </row>
    <row r="53" spans="1:9" ht="12.75">
      <c r="A53" s="11">
        <v>47</v>
      </c>
      <c r="B53" s="12" t="s">
        <v>158</v>
      </c>
      <c r="C53" s="405">
        <v>319369</v>
      </c>
      <c r="D53" s="405">
        <v>738</v>
      </c>
      <c r="E53" s="405">
        <f ca="1" t="shared" si="0"/>
        <v>432.74932249322495</v>
      </c>
      <c r="F53" s="405">
        <v>262929</v>
      </c>
      <c r="G53" s="354">
        <f ca="1" t="shared" si="1"/>
        <v>1.214658710146085</v>
      </c>
      <c r="H53" s="405">
        <v>161847</v>
      </c>
      <c r="I53" s="354">
        <f ca="1" t="shared" si="2"/>
        <v>1.9732772309650473</v>
      </c>
    </row>
    <row r="54" spans="1:9" ht="12.75">
      <c r="A54" s="13">
        <v>48</v>
      </c>
      <c r="B54" s="14" t="s">
        <v>159</v>
      </c>
      <c r="C54" s="406">
        <v>2617358</v>
      </c>
      <c r="D54" s="406">
        <v>4825</v>
      </c>
      <c r="E54" s="406">
        <f ca="1" t="shared" si="0"/>
        <v>542.4576165803109</v>
      </c>
      <c r="F54" s="406">
        <v>899460</v>
      </c>
      <c r="G54" s="355">
        <f ca="1" t="shared" si="1"/>
        <v>2.909921508460632</v>
      </c>
      <c r="H54" s="406">
        <v>611944</v>
      </c>
      <c r="I54" s="355">
        <f ca="1" t="shared" si="2"/>
        <v>4.277120128639222</v>
      </c>
    </row>
    <row r="55" spans="1:9" ht="12.75">
      <c r="A55" s="11">
        <v>49</v>
      </c>
      <c r="B55" s="12" t="s">
        <v>160</v>
      </c>
      <c r="C55" s="405">
        <v>2501559</v>
      </c>
      <c r="D55" s="405">
        <v>2732</v>
      </c>
      <c r="E55" s="405">
        <f ca="1" t="shared" si="0"/>
        <v>915.6511713030746</v>
      </c>
      <c r="F55" s="405">
        <v>1805720</v>
      </c>
      <c r="G55" s="354">
        <f ca="1" t="shared" si="1"/>
        <v>1.3853526571118446</v>
      </c>
      <c r="H55" s="405">
        <v>1103464</v>
      </c>
      <c r="I55" s="354">
        <f ca="1" t="shared" si="2"/>
        <v>2.2670055389210706</v>
      </c>
    </row>
    <row r="56" spans="1:9" ht="12.75">
      <c r="A56" s="13">
        <v>50</v>
      </c>
      <c r="B56" s="14" t="s">
        <v>343</v>
      </c>
      <c r="C56" s="406">
        <v>1204089</v>
      </c>
      <c r="D56" s="406">
        <v>1088</v>
      </c>
      <c r="E56" s="406">
        <f ca="1" t="shared" si="0"/>
        <v>1106.6994485294117</v>
      </c>
      <c r="F56" s="406">
        <v>1325592</v>
      </c>
      <c r="G56" s="355">
        <f ca="1" t="shared" si="1"/>
        <v>0.9083405753806602</v>
      </c>
      <c r="H56" s="406">
        <v>859750</v>
      </c>
      <c r="I56" s="355">
        <f ca="1" t="shared" si="2"/>
        <v>1.4005106135504508</v>
      </c>
    </row>
    <row r="57" spans="1:9" ht="12.75">
      <c r="A57" s="11">
        <v>2264</v>
      </c>
      <c r="B57" s="12" t="s">
        <v>161</v>
      </c>
      <c r="C57" s="405">
        <v>41886</v>
      </c>
      <c r="D57" s="405">
        <v>197</v>
      </c>
      <c r="E57" s="405">
        <f ca="1" t="shared" si="0"/>
        <v>212.61928934010152</v>
      </c>
      <c r="F57" s="405">
        <v>0</v>
      </c>
      <c r="G57" s="354">
        <f ca="1" t="shared" si="1"/>
      </c>
      <c r="H57" s="405">
        <v>0</v>
      </c>
      <c r="I57" s="354">
        <f ca="1" t="shared" si="2"/>
      </c>
    </row>
    <row r="58" spans="1:9" ht="12.75">
      <c r="A58" s="13">
        <v>2309</v>
      </c>
      <c r="B58" s="14" t="s">
        <v>162</v>
      </c>
      <c r="C58" s="406">
        <v>22931</v>
      </c>
      <c r="D58" s="406">
        <v>31</v>
      </c>
      <c r="E58" s="406">
        <f ca="1" t="shared" si="0"/>
        <v>739.7096774193549</v>
      </c>
      <c r="F58" s="406">
        <v>14448</v>
      </c>
      <c r="G58" s="355">
        <f ca="1" t="shared" si="1"/>
        <v>1.587140088593577</v>
      </c>
      <c r="H58" s="406">
        <v>4472</v>
      </c>
      <c r="I58" s="355">
        <f ca="1" t="shared" si="2"/>
        <v>5.1276833631484795</v>
      </c>
    </row>
    <row r="59" spans="1:9" ht="12.75">
      <c r="A59" s="11">
        <v>2312</v>
      </c>
      <c r="B59" s="12" t="s">
        <v>163</v>
      </c>
      <c r="C59" s="405">
        <v>0</v>
      </c>
      <c r="D59" s="405">
        <v>0</v>
      </c>
      <c r="E59" s="405">
        <f ca="1" t="shared" si="0"/>
      </c>
      <c r="F59" s="405">
        <v>0</v>
      </c>
      <c r="G59" s="354">
        <f ca="1" t="shared" si="1"/>
      </c>
      <c r="H59" s="405">
        <v>0</v>
      </c>
      <c r="I59" s="354">
        <f ca="1" t="shared" si="2"/>
      </c>
    </row>
    <row r="60" spans="1:9" ht="12.75">
      <c r="A60" s="13">
        <v>2355</v>
      </c>
      <c r="B60" s="14" t="s">
        <v>164</v>
      </c>
      <c r="C60" s="406">
        <v>39205</v>
      </c>
      <c r="D60" s="416" t="s">
        <v>347</v>
      </c>
      <c r="E60" s="416">
        <f ca="1">IF(AND(CELL("type",D60)="v",D60&gt;0),C60/D60,"")</f>
      </c>
      <c r="F60" s="416" t="s">
        <v>347</v>
      </c>
      <c r="G60" s="366">
        <f ca="1">IF(AND(CELL("type",F60)="v",F60&gt;0),C60/F60,"")</f>
      </c>
      <c r="H60" s="416" t="s">
        <v>347</v>
      </c>
      <c r="I60" s="355">
        <f ca="1" t="shared" si="2"/>
      </c>
    </row>
    <row r="61" spans="1:9" ht="12.75">
      <c r="A61" s="11">
        <v>2439</v>
      </c>
      <c r="B61" s="12" t="s">
        <v>165</v>
      </c>
      <c r="C61" s="405">
        <v>110697.51</v>
      </c>
      <c r="D61" s="405">
        <v>152</v>
      </c>
      <c r="E61" s="405">
        <f ca="1" t="shared" si="0"/>
        <v>728.2730921052631</v>
      </c>
      <c r="F61" s="405">
        <v>145542</v>
      </c>
      <c r="G61" s="354">
        <f ca="1" t="shared" si="1"/>
        <v>0.7605880776683019</v>
      </c>
      <c r="H61" s="405">
        <v>78692</v>
      </c>
      <c r="I61" s="354">
        <f ca="1" t="shared" si="2"/>
        <v>1.4067187261729273</v>
      </c>
    </row>
    <row r="62" spans="1:9" ht="12.75">
      <c r="A62" s="13">
        <v>2460</v>
      </c>
      <c r="B62" s="14" t="s">
        <v>166</v>
      </c>
      <c r="C62" s="406">
        <v>0</v>
      </c>
      <c r="D62" s="406">
        <v>0</v>
      </c>
      <c r="E62" s="406">
        <f ca="1" t="shared" si="0"/>
      </c>
      <c r="F62" s="406">
        <v>0</v>
      </c>
      <c r="G62" s="355">
        <f ca="1" t="shared" si="1"/>
      </c>
      <c r="H62" s="406">
        <v>0</v>
      </c>
      <c r="I62" s="355">
        <f ca="1" t="shared" si="2"/>
      </c>
    </row>
    <row r="63" spans="1:9" ht="12.75">
      <c r="A63" s="11">
        <v>3000</v>
      </c>
      <c r="B63" s="12" t="s">
        <v>366</v>
      </c>
      <c r="C63" s="405">
        <v>0</v>
      </c>
      <c r="D63" s="405">
        <v>0</v>
      </c>
      <c r="E63" s="405">
        <f ca="1" t="shared" si="0"/>
      </c>
      <c r="F63" s="405">
        <v>0</v>
      </c>
      <c r="G63" s="354">
        <f ca="1" t="shared" si="1"/>
      </c>
      <c r="H63" s="405">
        <v>0</v>
      </c>
      <c r="I63" s="354">
        <f ca="1" t="shared" si="2"/>
      </c>
    </row>
    <row r="64" spans="1:9" ht="4.5" customHeight="1">
      <c r="A64" s="15"/>
      <c r="B64" s="15"/>
      <c r="C64" s="412"/>
      <c r="D64" s="412"/>
      <c r="E64" s="412"/>
      <c r="F64" s="412"/>
      <c r="G64" s="356"/>
      <c r="H64" s="412"/>
      <c r="I64" s="356"/>
    </row>
    <row r="65" spans="1:9" ht="12.75">
      <c r="A65" s="17"/>
      <c r="B65" s="18" t="s">
        <v>167</v>
      </c>
      <c r="C65" s="407">
        <f>SUM(C11:C63)</f>
        <v>42983230.699999996</v>
      </c>
      <c r="D65" s="407">
        <f>SUM(D11:D63)</f>
        <v>61547</v>
      </c>
      <c r="E65" s="407">
        <f>C65/D65</f>
        <v>698.3805985669487</v>
      </c>
      <c r="F65" s="407">
        <f>SUM(F11:F63)</f>
        <v>33825017</v>
      </c>
      <c r="G65" s="357">
        <f>C65/F65</f>
        <v>1.270752671018613</v>
      </c>
      <c r="H65" s="407">
        <f>SUM(H11:H63)</f>
        <v>22463525</v>
      </c>
      <c r="I65" s="357">
        <f>C65/H65</f>
        <v>1.9134677527235817</v>
      </c>
    </row>
    <row r="66" spans="1:9" ht="4.5" customHeight="1">
      <c r="A66" s="15"/>
      <c r="B66" s="15"/>
      <c r="C66" s="412"/>
      <c r="D66" s="412"/>
      <c r="E66" s="412"/>
      <c r="F66" s="412"/>
      <c r="G66" s="356"/>
      <c r="H66" s="412"/>
      <c r="I66" s="356"/>
    </row>
    <row r="67" spans="1:9" ht="12.75">
      <c r="A67" s="13">
        <v>2155</v>
      </c>
      <c r="B67" s="14" t="s">
        <v>168</v>
      </c>
      <c r="C67" s="406">
        <v>56514.87</v>
      </c>
      <c r="D67" s="406">
        <v>114</v>
      </c>
      <c r="E67" s="406">
        <f ca="1">IF(AND(CELL("type",D67)="v",D67&gt;0),C67/D67,"")</f>
        <v>495.74447368421056</v>
      </c>
      <c r="F67" s="406">
        <v>28805</v>
      </c>
      <c r="G67" s="355">
        <f ca="1">IF(AND(CELL("type",F67)="v",F67&gt;0),C67/F67,"")</f>
        <v>1.9619812532546435</v>
      </c>
      <c r="H67" s="406">
        <v>26715</v>
      </c>
      <c r="I67" s="355">
        <f ca="1">IF(AND(CELL("type",H67)="v",H67&gt;0),C67/H67,"")</f>
        <v>2.115473329590118</v>
      </c>
    </row>
    <row r="68" spans="1:9" ht="12.75">
      <c r="A68" s="11">
        <v>2408</v>
      </c>
      <c r="B68" s="12" t="s">
        <v>170</v>
      </c>
      <c r="C68" s="405">
        <v>0</v>
      </c>
      <c r="D68" s="405"/>
      <c r="E68" s="405">
        <f ca="1">IF(AND(CELL("type",D68)="v",D68&gt;0),C68/D68,"")</f>
      </c>
      <c r="F68" s="405"/>
      <c r="G68" s="354">
        <f ca="1">IF(AND(CELL("type",F68)="v",F68&gt;0),C68/F68,"")</f>
      </c>
      <c r="H68" s="405"/>
      <c r="I68" s="354">
        <f ca="1">IF(AND(CELL("type",H68)="v",H68&gt;0),C68/H68,"")</f>
      </c>
    </row>
    <row r="69" ht="6.75" customHeight="1"/>
    <row r="70" spans="1:9" ht="12" customHeight="1">
      <c r="A70" s="4"/>
      <c r="B70" s="4"/>
      <c r="C70" s="15"/>
      <c r="D70" s="15"/>
      <c r="E70" s="15"/>
      <c r="F70" s="15"/>
      <c r="H70" s="15"/>
      <c r="I70" s="15"/>
    </row>
    <row r="71" spans="1:9" ht="12" customHeight="1">
      <c r="A71" s="4"/>
      <c r="B71" s="4"/>
      <c r="C71" s="15"/>
      <c r="D71" s="15"/>
      <c r="E71" s="15"/>
      <c r="F71" s="15"/>
      <c r="G71" s="15"/>
      <c r="H71" s="15"/>
      <c r="I71" s="15"/>
    </row>
    <row r="72" spans="1:9" ht="12" customHeight="1">
      <c r="A72" s="4"/>
      <c r="B72" s="4"/>
      <c r="C72" s="15"/>
      <c r="D72" s="15"/>
      <c r="E72" s="15"/>
      <c r="F72" s="15"/>
      <c r="G72" s="15"/>
      <c r="H72" s="15"/>
      <c r="I72" s="15"/>
    </row>
    <row r="73" spans="1:9" ht="12" customHeight="1">
      <c r="A73" s="4"/>
      <c r="B73" s="4"/>
      <c r="C73" s="15"/>
      <c r="D73" s="15"/>
      <c r="E73" s="15"/>
      <c r="F73" s="15"/>
      <c r="G73" s="15"/>
      <c r="H73" s="15"/>
      <c r="I73" s="15"/>
    </row>
    <row r="74" spans="1:9" ht="12" customHeight="1">
      <c r="A74" s="4"/>
      <c r="B74" s="4"/>
      <c r="C74" s="15"/>
      <c r="D74" s="15"/>
      <c r="E74" s="15"/>
      <c r="F74" s="15"/>
      <c r="G74" s="15"/>
      <c r="H74" s="15"/>
      <c r="I74" s="15"/>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22.83203125" style="79" customWidth="1"/>
    <col min="4" max="5" width="15.83203125" style="79" customWidth="1"/>
    <col min="6" max="6" width="43.83203125" style="79" customWidth="1"/>
    <col min="7" max="16384" width="15.83203125" style="79" customWidth="1"/>
  </cols>
  <sheetData>
    <row r="1" spans="1:6" ht="6.75" customHeight="1">
      <c r="A1" s="15"/>
      <c r="B1" s="77"/>
      <c r="C1" s="139"/>
      <c r="D1" s="139"/>
      <c r="E1" s="139"/>
      <c r="F1" s="139"/>
    </row>
    <row r="2" spans="1:6" ht="12.75">
      <c r="A2" s="6"/>
      <c r="B2" s="80"/>
      <c r="C2" s="196" t="s">
        <v>315</v>
      </c>
      <c r="D2" s="196"/>
      <c r="E2" s="196"/>
      <c r="F2" s="205"/>
    </row>
    <row r="3" spans="1:6" ht="12.75">
      <c r="A3" s="7"/>
      <c r="B3" s="83"/>
      <c r="C3" s="199" t="str">
        <f>YEAR</f>
        <v>OPERATING FUND ACTUAL 2001/2002</v>
      </c>
      <c r="D3" s="199"/>
      <c r="E3" s="199"/>
      <c r="F3" s="206"/>
    </row>
    <row r="4" spans="1:6" ht="12.75">
      <c r="A4" s="8"/>
      <c r="C4" s="139"/>
      <c r="D4" s="139"/>
      <c r="E4" s="139"/>
      <c r="F4" s="139"/>
    </row>
    <row r="5" spans="1:6" ht="12.75">
      <c r="A5" s="8"/>
      <c r="C5" s="54"/>
      <c r="D5" s="139"/>
      <c r="E5" s="139"/>
      <c r="F5" s="139"/>
    </row>
    <row r="6" spans="1:5" ht="12.75">
      <c r="A6" s="8"/>
      <c r="C6" s="64" t="s">
        <v>34</v>
      </c>
      <c r="D6" s="127"/>
      <c r="E6" s="202"/>
    </row>
    <row r="7" spans="3:5" ht="12.75">
      <c r="C7" s="65" t="s">
        <v>72</v>
      </c>
      <c r="D7" s="66"/>
      <c r="E7" s="207"/>
    </row>
    <row r="8" spans="1:5" ht="12.75">
      <c r="A8" s="91"/>
      <c r="B8" s="43"/>
      <c r="C8" s="208"/>
      <c r="D8" s="209" t="s">
        <v>94</v>
      </c>
      <c r="E8" s="203" t="s">
        <v>95</v>
      </c>
    </row>
    <row r="9" spans="1:5" ht="12.75">
      <c r="A9" s="49" t="s">
        <v>101</v>
      </c>
      <c r="B9" s="50" t="s">
        <v>102</v>
      </c>
      <c r="C9" s="72" t="s">
        <v>103</v>
      </c>
      <c r="D9" s="73" t="s">
        <v>113</v>
      </c>
      <c r="E9" s="73" t="s">
        <v>111</v>
      </c>
    </row>
    <row r="10" spans="1:2" ht="4.5" customHeight="1">
      <c r="A10" s="74"/>
      <c r="B10" s="74"/>
    </row>
    <row r="11" spans="1:6" ht="12.75">
      <c r="A11" s="11">
        <v>1</v>
      </c>
      <c r="B11" s="12" t="s">
        <v>116</v>
      </c>
      <c r="C11" s="405">
        <f>SUM('- 30 -'!C11,'- 30 -'!E11,'- 31 -'!E11)</f>
        <v>2855225</v>
      </c>
      <c r="D11" s="405">
        <v>1100000</v>
      </c>
      <c r="E11" s="354">
        <f ca="1">IF(AND(CELL("type",D11)="v",D11&gt;0),C11/D11,"")</f>
        <v>2.595659090909091</v>
      </c>
      <c r="F11" s="210"/>
    </row>
    <row r="12" spans="1:6" ht="12.75">
      <c r="A12" s="13">
        <v>2</v>
      </c>
      <c r="B12" s="14" t="s">
        <v>117</v>
      </c>
      <c r="C12" s="406">
        <f>SUM('- 30 -'!C12,'- 30 -'!E12,'- 31 -'!E12)</f>
        <v>936395</v>
      </c>
      <c r="D12" s="406">
        <v>475500</v>
      </c>
      <c r="E12" s="355">
        <f aca="true" ca="1" t="shared" si="0" ref="E12:E63">IF(AND(CELL("type",D12)="v",D12&gt;0),C12/D12,"")</f>
        <v>1.9692849631966352</v>
      </c>
      <c r="F12" s="210"/>
    </row>
    <row r="13" spans="1:6" ht="12.75">
      <c r="A13" s="11">
        <v>3</v>
      </c>
      <c r="B13" s="12" t="s">
        <v>118</v>
      </c>
      <c r="C13" s="405">
        <f>SUM('- 30 -'!C13,'- 30 -'!E13,'- 31 -'!E13)</f>
        <v>585537</v>
      </c>
      <c r="D13" s="405">
        <v>223545</v>
      </c>
      <c r="E13" s="354">
        <f ca="1" t="shared" si="0"/>
        <v>2.6193249681272226</v>
      </c>
      <c r="F13" s="210"/>
    </row>
    <row r="14" spans="1:6" ht="12.75">
      <c r="A14" s="13">
        <v>4</v>
      </c>
      <c r="B14" s="14" t="s">
        <v>119</v>
      </c>
      <c r="C14" s="406">
        <f>SUM('- 30 -'!C14,'- 30 -'!E14,'- 31 -'!E14)</f>
        <v>595517</v>
      </c>
      <c r="D14" s="406">
        <v>166391</v>
      </c>
      <c r="E14" s="355">
        <f ca="1" t="shared" si="0"/>
        <v>3.579021701894934</v>
      </c>
      <c r="F14" s="210"/>
    </row>
    <row r="15" spans="1:6" ht="12.75">
      <c r="A15" s="11">
        <v>5</v>
      </c>
      <c r="B15" s="12" t="s">
        <v>120</v>
      </c>
      <c r="C15" s="405">
        <f>SUM('- 30 -'!C15,'- 30 -'!E15,'- 31 -'!E15)</f>
        <v>664990</v>
      </c>
      <c r="D15" s="405">
        <v>281460</v>
      </c>
      <c r="E15" s="354">
        <f ca="1" t="shared" si="0"/>
        <v>2.362644780785902</v>
      </c>
      <c r="F15" s="210"/>
    </row>
    <row r="16" spans="1:6" ht="12.75">
      <c r="A16" s="13">
        <v>6</v>
      </c>
      <c r="B16" s="14" t="s">
        <v>121</v>
      </c>
      <c r="C16" s="406">
        <f>SUM('- 30 -'!C16,'- 30 -'!E16,'- 31 -'!E16)</f>
        <v>923069</v>
      </c>
      <c r="D16" s="406">
        <v>381157</v>
      </c>
      <c r="E16" s="355">
        <f ca="1" t="shared" si="0"/>
        <v>2.4217553396631835</v>
      </c>
      <c r="F16" s="210"/>
    </row>
    <row r="17" spans="1:6" ht="12.75">
      <c r="A17" s="11">
        <v>9</v>
      </c>
      <c r="B17" s="12" t="s">
        <v>122</v>
      </c>
      <c r="C17" s="405">
        <f>SUM('- 30 -'!C17,'- 30 -'!E17,'- 31 -'!E17)</f>
        <v>1708321</v>
      </c>
      <c r="D17" s="405">
        <v>844466</v>
      </c>
      <c r="E17" s="354">
        <f ca="1" t="shared" si="0"/>
        <v>2.022960071808693</v>
      </c>
      <c r="F17" s="210"/>
    </row>
    <row r="18" spans="1:6" ht="12.75">
      <c r="A18" s="13">
        <v>10</v>
      </c>
      <c r="B18" s="14" t="s">
        <v>123</v>
      </c>
      <c r="C18" s="406">
        <f>SUM('- 30 -'!C18,'- 30 -'!E18,'- 31 -'!E18)</f>
        <v>1878551.3399999999</v>
      </c>
      <c r="D18" s="406">
        <v>784710</v>
      </c>
      <c r="E18" s="355">
        <f ca="1" t="shared" si="0"/>
        <v>2.3939434185877584</v>
      </c>
      <c r="F18" s="210"/>
    </row>
    <row r="19" spans="1:6" ht="12.75">
      <c r="A19" s="11">
        <v>11</v>
      </c>
      <c r="B19" s="12" t="s">
        <v>124</v>
      </c>
      <c r="C19" s="405">
        <f>SUM('- 30 -'!C19,'- 30 -'!E19,'- 31 -'!E19)</f>
        <v>1613393</v>
      </c>
      <c r="D19" s="405">
        <v>1048544</v>
      </c>
      <c r="E19" s="354">
        <f ca="1" t="shared" si="0"/>
        <v>1.5386984237189856</v>
      </c>
      <c r="F19" s="210"/>
    </row>
    <row r="20" spans="1:6" ht="12.75">
      <c r="A20" s="13">
        <v>12</v>
      </c>
      <c r="B20" s="14" t="s">
        <v>125</v>
      </c>
      <c r="C20" s="406">
        <f>SUM('- 30 -'!C20,'- 30 -'!E20,'- 31 -'!E20)</f>
        <v>1903941</v>
      </c>
      <c r="D20" s="406">
        <v>1238482</v>
      </c>
      <c r="E20" s="355">
        <f ca="1" t="shared" si="0"/>
        <v>1.5373182654249316</v>
      </c>
      <c r="F20" s="210"/>
    </row>
    <row r="21" spans="1:6" ht="12.75">
      <c r="A21" s="11">
        <v>13</v>
      </c>
      <c r="B21" s="12" t="s">
        <v>126</v>
      </c>
      <c r="C21" s="405">
        <f>SUM('- 30 -'!C21,'- 30 -'!E21,'- 31 -'!E21)</f>
        <v>1426400</v>
      </c>
      <c r="D21" s="405">
        <v>1254353</v>
      </c>
      <c r="E21" s="354">
        <f ca="1" t="shared" si="0"/>
        <v>1.137159954175579</v>
      </c>
      <c r="F21" s="210"/>
    </row>
    <row r="22" spans="1:6" ht="12.75">
      <c r="A22" s="13">
        <v>14</v>
      </c>
      <c r="B22" s="14" t="s">
        <v>127</v>
      </c>
      <c r="C22" s="406">
        <f>SUM('- 30 -'!C22,'- 30 -'!E22,'- 31 -'!E22)</f>
        <v>1585475</v>
      </c>
      <c r="D22" s="406">
        <v>1283857</v>
      </c>
      <c r="E22" s="355">
        <f ca="1" t="shared" si="0"/>
        <v>1.2349311488740569</v>
      </c>
      <c r="F22" s="210"/>
    </row>
    <row r="23" spans="1:6" ht="12.75">
      <c r="A23" s="11">
        <v>15</v>
      </c>
      <c r="B23" s="12" t="s">
        <v>128</v>
      </c>
      <c r="C23" s="405">
        <f>SUM('- 30 -'!C23,'- 30 -'!E23,'- 31 -'!E23)</f>
        <v>1661047</v>
      </c>
      <c r="D23" s="405">
        <v>1313325</v>
      </c>
      <c r="E23" s="354">
        <f ca="1" t="shared" si="0"/>
        <v>1.2647646241410162</v>
      </c>
      <c r="F23" s="210"/>
    </row>
    <row r="24" spans="1:6" ht="12.75">
      <c r="A24" s="13">
        <v>16</v>
      </c>
      <c r="B24" s="14" t="s">
        <v>129</v>
      </c>
      <c r="C24" s="406">
        <f>SUM('- 30 -'!C24,'- 30 -'!E24,'- 31 -'!E24)</f>
        <v>605341.2999999999</v>
      </c>
      <c r="D24" s="406">
        <v>597765</v>
      </c>
      <c r="E24" s="355">
        <f ca="1" t="shared" si="0"/>
        <v>1.0126743787274262</v>
      </c>
      <c r="F24" s="210"/>
    </row>
    <row r="25" spans="1:6" ht="12.75">
      <c r="A25" s="11">
        <v>17</v>
      </c>
      <c r="B25" s="12" t="s">
        <v>130</v>
      </c>
      <c r="C25" s="405">
        <f>SUM('- 30 -'!C25,'- 30 -'!E25,'- 31 -'!E25)</f>
        <v>368493</v>
      </c>
      <c r="D25" s="405">
        <v>428712</v>
      </c>
      <c r="E25" s="354">
        <f ca="1" t="shared" si="0"/>
        <v>0.8595350724962212</v>
      </c>
      <c r="F25" s="210"/>
    </row>
    <row r="26" spans="1:6" ht="12.75">
      <c r="A26" s="13">
        <v>18</v>
      </c>
      <c r="B26" s="14" t="s">
        <v>131</v>
      </c>
      <c r="C26" s="406">
        <f>SUM('- 30 -'!C26,'- 30 -'!E26,'- 31 -'!E26)</f>
        <v>647080</v>
      </c>
      <c r="D26" s="406">
        <v>460616</v>
      </c>
      <c r="E26" s="355">
        <f ca="1" t="shared" si="0"/>
        <v>1.4048144224256214</v>
      </c>
      <c r="F26" s="210"/>
    </row>
    <row r="27" spans="1:6" ht="12.75">
      <c r="A27" s="11">
        <v>19</v>
      </c>
      <c r="B27" s="12" t="s">
        <v>132</v>
      </c>
      <c r="C27" s="405">
        <f>SUM('- 30 -'!C27,'- 30 -'!E27,'- 31 -'!E27)</f>
        <v>1087944.5</v>
      </c>
      <c r="D27" s="405">
        <v>863242</v>
      </c>
      <c r="E27" s="354">
        <f ca="1" t="shared" si="0"/>
        <v>1.2603007036265612</v>
      </c>
      <c r="F27" s="210"/>
    </row>
    <row r="28" spans="1:6" ht="12.75">
      <c r="A28" s="13">
        <v>20</v>
      </c>
      <c r="B28" s="14" t="s">
        <v>133</v>
      </c>
      <c r="C28" s="406">
        <f>SUM('- 30 -'!C28,'- 30 -'!E28,'- 31 -'!E28)</f>
        <v>515288</v>
      </c>
      <c r="D28" s="406">
        <v>440052</v>
      </c>
      <c r="E28" s="355">
        <f ca="1" t="shared" si="0"/>
        <v>1.170970703462318</v>
      </c>
      <c r="F28" s="210"/>
    </row>
    <row r="29" spans="1:6" ht="12.75">
      <c r="A29" s="11">
        <v>21</v>
      </c>
      <c r="B29" s="12" t="s">
        <v>134</v>
      </c>
      <c r="C29" s="405">
        <f>SUM('- 30 -'!C29,'- 30 -'!E29,'- 31 -'!E29)</f>
        <v>1507182</v>
      </c>
      <c r="D29" s="405">
        <v>1026668</v>
      </c>
      <c r="E29" s="354">
        <f ca="1" t="shared" si="0"/>
        <v>1.4680325090486896</v>
      </c>
      <c r="F29" s="210"/>
    </row>
    <row r="30" spans="1:6" ht="12.75">
      <c r="A30" s="13">
        <v>22</v>
      </c>
      <c r="B30" s="14" t="s">
        <v>135</v>
      </c>
      <c r="C30" s="406">
        <f>SUM('- 30 -'!C30,'- 30 -'!E30,'- 31 -'!E30)</f>
        <v>879517</v>
      </c>
      <c r="D30" s="406">
        <v>683953</v>
      </c>
      <c r="E30" s="355">
        <f ca="1" t="shared" si="0"/>
        <v>1.2859319280710808</v>
      </c>
      <c r="F30" s="210"/>
    </row>
    <row r="31" spans="1:6" ht="12.75">
      <c r="A31" s="11">
        <v>23</v>
      </c>
      <c r="B31" s="12" t="s">
        <v>136</v>
      </c>
      <c r="C31" s="405">
        <f>SUM('- 30 -'!C31,'- 30 -'!E31,'- 31 -'!E31)</f>
        <v>1109732</v>
      </c>
      <c r="D31" s="405">
        <v>1076545</v>
      </c>
      <c r="E31" s="354">
        <f ca="1" t="shared" si="0"/>
        <v>1.0308273225921816</v>
      </c>
      <c r="F31" s="210"/>
    </row>
    <row r="32" spans="1:6" ht="12.75">
      <c r="A32" s="13">
        <v>24</v>
      </c>
      <c r="B32" s="14" t="s">
        <v>137</v>
      </c>
      <c r="C32" s="406">
        <f>SUM('- 30 -'!C32,'- 30 -'!E32,'- 31 -'!E32)</f>
        <v>715655</v>
      </c>
      <c r="D32" s="406">
        <v>742000</v>
      </c>
      <c r="E32" s="355">
        <f ca="1" t="shared" si="0"/>
        <v>0.9644946091644205</v>
      </c>
      <c r="F32" s="210"/>
    </row>
    <row r="33" spans="1:6" ht="12.75">
      <c r="A33" s="11">
        <v>25</v>
      </c>
      <c r="B33" s="12" t="s">
        <v>138</v>
      </c>
      <c r="C33" s="405">
        <f>SUM('- 30 -'!C33,'- 30 -'!E33,'- 31 -'!E33)</f>
        <v>844449</v>
      </c>
      <c r="D33" s="405">
        <v>806166</v>
      </c>
      <c r="E33" s="354">
        <f ca="1" t="shared" si="0"/>
        <v>1.0474877382573813</v>
      </c>
      <c r="F33" s="210"/>
    </row>
    <row r="34" spans="1:6" ht="12.75">
      <c r="A34" s="13">
        <v>26</v>
      </c>
      <c r="B34" s="14" t="s">
        <v>139</v>
      </c>
      <c r="C34" s="406">
        <f>SUM('- 30 -'!C34,'- 30 -'!E34,'- 31 -'!E34)</f>
        <v>603785</v>
      </c>
      <c r="D34" s="406">
        <v>473992</v>
      </c>
      <c r="E34" s="355">
        <f ca="1" t="shared" si="0"/>
        <v>1.2738295161099766</v>
      </c>
      <c r="F34" s="210"/>
    </row>
    <row r="35" spans="1:6" ht="12.75">
      <c r="A35" s="11">
        <v>28</v>
      </c>
      <c r="B35" s="12" t="s">
        <v>140</v>
      </c>
      <c r="C35" s="405">
        <f>SUM('- 30 -'!C35,'- 30 -'!E35,'- 31 -'!E35)</f>
        <v>473901</v>
      </c>
      <c r="D35" s="405">
        <v>490176</v>
      </c>
      <c r="E35" s="354">
        <f ca="1" t="shared" si="0"/>
        <v>0.9667976400313357</v>
      </c>
      <c r="F35" s="210"/>
    </row>
    <row r="36" spans="1:6" ht="12.75">
      <c r="A36" s="13">
        <v>30</v>
      </c>
      <c r="B36" s="14" t="s">
        <v>141</v>
      </c>
      <c r="C36" s="406">
        <f>SUM('- 30 -'!C36,'- 30 -'!E36,'- 31 -'!E36)</f>
        <v>875056</v>
      </c>
      <c r="D36" s="406">
        <v>862114</v>
      </c>
      <c r="E36" s="355">
        <f ca="1" t="shared" si="0"/>
        <v>1.015011935776475</v>
      </c>
      <c r="F36" s="210"/>
    </row>
    <row r="37" spans="1:6" ht="12.75">
      <c r="A37" s="11">
        <v>31</v>
      </c>
      <c r="B37" s="12" t="s">
        <v>142</v>
      </c>
      <c r="C37" s="405">
        <f>SUM('- 30 -'!C37,'- 30 -'!E37,'- 31 -'!E37)</f>
        <v>773380</v>
      </c>
      <c r="D37" s="405">
        <v>728124</v>
      </c>
      <c r="E37" s="354">
        <f ca="1" t="shared" si="0"/>
        <v>1.0621542484521866</v>
      </c>
      <c r="F37" s="210"/>
    </row>
    <row r="38" spans="1:6" ht="12.75">
      <c r="A38" s="13">
        <v>32</v>
      </c>
      <c r="B38" s="14" t="s">
        <v>143</v>
      </c>
      <c r="C38" s="406">
        <f>SUM('- 30 -'!C38,'- 30 -'!E38,'- 31 -'!E38)</f>
        <v>659408</v>
      </c>
      <c r="D38" s="406">
        <v>894361</v>
      </c>
      <c r="E38" s="355">
        <f ca="1" t="shared" si="0"/>
        <v>0.7372951190850228</v>
      </c>
      <c r="F38" s="210"/>
    </row>
    <row r="39" spans="1:6" ht="12.75">
      <c r="A39" s="11">
        <v>33</v>
      </c>
      <c r="B39" s="12" t="s">
        <v>144</v>
      </c>
      <c r="C39" s="405">
        <f>SUM('- 30 -'!C39,'- 30 -'!E39,'- 31 -'!E39)</f>
        <v>600940</v>
      </c>
      <c r="D39" s="405">
        <v>424536</v>
      </c>
      <c r="E39" s="354">
        <f ca="1" t="shared" si="0"/>
        <v>1.4155218874253301</v>
      </c>
      <c r="F39" s="210"/>
    </row>
    <row r="40" spans="1:6" ht="12.75">
      <c r="A40" s="13">
        <v>34</v>
      </c>
      <c r="B40" s="14" t="s">
        <v>145</v>
      </c>
      <c r="C40" s="406">
        <f>SUM('- 30 -'!C40,'- 30 -'!E40,'- 31 -'!E40)</f>
        <v>559029.84</v>
      </c>
      <c r="D40" s="406">
        <v>493572</v>
      </c>
      <c r="E40" s="355">
        <f ca="1" t="shared" si="0"/>
        <v>1.1326206510904184</v>
      </c>
      <c r="F40" s="210"/>
    </row>
    <row r="41" spans="1:6" ht="12.75">
      <c r="A41" s="11">
        <v>35</v>
      </c>
      <c r="B41" s="12" t="s">
        <v>146</v>
      </c>
      <c r="C41" s="405">
        <f>SUM('- 30 -'!C41,'- 30 -'!E41,'- 31 -'!E41)</f>
        <v>1057115</v>
      </c>
      <c r="D41" s="405">
        <v>837293</v>
      </c>
      <c r="E41" s="354">
        <f ca="1" t="shared" si="0"/>
        <v>1.2625389200674078</v>
      </c>
      <c r="F41" s="210"/>
    </row>
    <row r="42" spans="1:6" ht="12.75">
      <c r="A42" s="13">
        <v>36</v>
      </c>
      <c r="B42" s="14" t="s">
        <v>147</v>
      </c>
      <c r="C42" s="406">
        <f>SUM('- 30 -'!C42,'- 30 -'!E42,'- 31 -'!E42)</f>
        <v>817431</v>
      </c>
      <c r="D42" s="406">
        <v>637120</v>
      </c>
      <c r="E42" s="355">
        <f ca="1" t="shared" si="0"/>
        <v>1.2830094801607232</v>
      </c>
      <c r="F42" s="210"/>
    </row>
    <row r="43" spans="1:6" ht="12.75">
      <c r="A43" s="11">
        <v>37</v>
      </c>
      <c r="B43" s="12" t="s">
        <v>148</v>
      </c>
      <c r="C43" s="405">
        <f>SUM('- 30 -'!C43,'- 30 -'!E43,'- 31 -'!E43)</f>
        <v>731649</v>
      </c>
      <c r="D43" s="405">
        <v>669940</v>
      </c>
      <c r="E43" s="354">
        <f ca="1" t="shared" si="0"/>
        <v>1.0921112338418366</v>
      </c>
      <c r="F43" s="210"/>
    </row>
    <row r="44" spans="1:6" ht="12.75">
      <c r="A44" s="13">
        <v>38</v>
      </c>
      <c r="B44" s="14" t="s">
        <v>149</v>
      </c>
      <c r="C44" s="406">
        <f>SUM('- 30 -'!C44,'- 30 -'!E44,'- 31 -'!E44)</f>
        <v>1029497</v>
      </c>
      <c r="D44" s="406">
        <v>987390</v>
      </c>
      <c r="E44" s="355">
        <f ca="1" t="shared" si="0"/>
        <v>1.0426447503012994</v>
      </c>
      <c r="F44" s="210"/>
    </row>
    <row r="45" spans="1:6" ht="12.75">
      <c r="A45" s="11">
        <v>39</v>
      </c>
      <c r="B45" s="12" t="s">
        <v>150</v>
      </c>
      <c r="C45" s="405">
        <f>SUM('- 30 -'!C45,'- 30 -'!E45,'- 31 -'!E45)</f>
        <v>1041425</v>
      </c>
      <c r="D45" s="405">
        <v>1116000</v>
      </c>
      <c r="E45" s="354">
        <f ca="1" t="shared" si="0"/>
        <v>0.933176523297491</v>
      </c>
      <c r="F45" s="210"/>
    </row>
    <row r="46" spans="1:6" ht="12.75">
      <c r="A46" s="13">
        <v>40</v>
      </c>
      <c r="B46" s="14" t="s">
        <v>151</v>
      </c>
      <c r="C46" s="406">
        <f>SUM('- 30 -'!C46,'- 30 -'!E46,'- 31 -'!E46)</f>
        <v>1288423</v>
      </c>
      <c r="D46" s="406">
        <v>785587</v>
      </c>
      <c r="E46" s="355">
        <f ca="1" t="shared" si="0"/>
        <v>1.6400767833479932</v>
      </c>
      <c r="F46" s="210"/>
    </row>
    <row r="47" spans="1:6" ht="12.75">
      <c r="A47" s="11">
        <v>41</v>
      </c>
      <c r="B47" s="12" t="s">
        <v>152</v>
      </c>
      <c r="C47" s="405">
        <f>SUM('- 30 -'!C47,'- 30 -'!E47,'- 31 -'!E47)</f>
        <v>1065234</v>
      </c>
      <c r="D47" s="405">
        <v>1158201</v>
      </c>
      <c r="E47" s="354">
        <f ca="1" t="shared" si="0"/>
        <v>0.9197315491870582</v>
      </c>
      <c r="F47" s="210"/>
    </row>
    <row r="48" spans="1:6" ht="12.75">
      <c r="A48" s="13">
        <v>42</v>
      </c>
      <c r="B48" s="14" t="s">
        <v>153</v>
      </c>
      <c r="C48" s="406">
        <f>SUM('- 30 -'!C48,'- 30 -'!E48,'- 31 -'!E48)</f>
        <v>653940</v>
      </c>
      <c r="D48" s="406">
        <v>724228</v>
      </c>
      <c r="E48" s="355">
        <f ca="1" t="shared" si="0"/>
        <v>0.9029476905063046</v>
      </c>
      <c r="F48" s="210"/>
    </row>
    <row r="49" spans="1:6" ht="12.75">
      <c r="A49" s="11">
        <v>43</v>
      </c>
      <c r="B49" s="12" t="s">
        <v>154</v>
      </c>
      <c r="C49" s="405">
        <f>SUM('- 30 -'!C49,'- 30 -'!E49,'- 31 -'!E49)</f>
        <v>551041</v>
      </c>
      <c r="D49" s="405">
        <v>577070</v>
      </c>
      <c r="E49" s="354">
        <f ca="1" t="shared" si="0"/>
        <v>0.9548945535203701</v>
      </c>
      <c r="F49" s="210"/>
    </row>
    <row r="50" spans="1:6" ht="12.75">
      <c r="A50" s="13">
        <v>44</v>
      </c>
      <c r="B50" s="14" t="s">
        <v>155</v>
      </c>
      <c r="C50" s="406">
        <f>SUM('- 30 -'!C50,'- 30 -'!E50,'- 31 -'!E50)</f>
        <v>699424</v>
      </c>
      <c r="D50" s="406">
        <v>761312</v>
      </c>
      <c r="E50" s="355">
        <f ca="1" t="shared" si="0"/>
        <v>0.9187087554117103</v>
      </c>
      <c r="F50" s="210"/>
    </row>
    <row r="51" spans="1:6" ht="12.75">
      <c r="A51" s="11">
        <v>45</v>
      </c>
      <c r="B51" s="12" t="s">
        <v>156</v>
      </c>
      <c r="C51" s="405">
        <f>SUM('- 30 -'!C51,'- 30 -'!E51,'- 31 -'!E51)</f>
        <v>341964</v>
      </c>
      <c r="D51" s="405">
        <v>221937</v>
      </c>
      <c r="E51" s="354">
        <f ca="1" t="shared" si="0"/>
        <v>1.5408156368699226</v>
      </c>
      <c r="F51" s="210"/>
    </row>
    <row r="52" spans="1:6" ht="12.75">
      <c r="A52" s="13">
        <v>46</v>
      </c>
      <c r="B52" s="14" t="s">
        <v>157</v>
      </c>
      <c r="C52" s="406">
        <f>SUM('- 30 -'!C52,'- 30 -'!E52,'- 31 -'!E52)</f>
        <v>174523</v>
      </c>
      <c r="D52" s="416" t="s">
        <v>347</v>
      </c>
      <c r="E52" s="355">
        <f ca="1" t="shared" si="0"/>
      </c>
      <c r="F52" s="210"/>
    </row>
    <row r="53" spans="1:6" ht="12.75">
      <c r="A53" s="11">
        <v>47</v>
      </c>
      <c r="B53" s="12" t="s">
        <v>158</v>
      </c>
      <c r="C53" s="405">
        <f>SUM('- 30 -'!C53,'- 30 -'!E53,'- 31 -'!E53)</f>
        <v>367929</v>
      </c>
      <c r="D53" s="405">
        <v>289382</v>
      </c>
      <c r="E53" s="354">
        <f ca="1" t="shared" si="0"/>
        <v>1.2714301511496915</v>
      </c>
      <c r="F53" s="210"/>
    </row>
    <row r="54" spans="1:6" ht="12.75">
      <c r="A54" s="13">
        <v>48</v>
      </c>
      <c r="B54" s="14" t="s">
        <v>159</v>
      </c>
      <c r="C54" s="406">
        <f>SUM('- 30 -'!C54,'- 30 -'!E54,'- 31 -'!E54)</f>
        <v>3074882</v>
      </c>
      <c r="D54" s="406">
        <v>1270824</v>
      </c>
      <c r="E54" s="355">
        <f ca="1" t="shared" si="0"/>
        <v>2.4195970488438996</v>
      </c>
      <c r="F54" s="210"/>
    </row>
    <row r="55" spans="1:6" ht="12.75">
      <c r="A55" s="11">
        <v>49</v>
      </c>
      <c r="B55" s="12" t="s">
        <v>160</v>
      </c>
      <c r="C55" s="405">
        <f>SUM('- 30 -'!C55,'- 30 -'!E55,'- 31 -'!E55)</f>
        <v>2725920</v>
      </c>
      <c r="D55" s="415" t="s">
        <v>347</v>
      </c>
      <c r="E55" s="354">
        <f ca="1" t="shared" si="0"/>
      </c>
      <c r="F55" s="210"/>
    </row>
    <row r="56" spans="1:6" ht="12.75">
      <c r="A56" s="13">
        <v>50</v>
      </c>
      <c r="B56" s="14" t="s">
        <v>343</v>
      </c>
      <c r="C56" s="406">
        <f>SUM('- 30 -'!C56,'- 30 -'!E56,'- 31 -'!E56)</f>
        <v>1298638</v>
      </c>
      <c r="D56" s="406">
        <v>1264848</v>
      </c>
      <c r="E56" s="355">
        <f ca="1" t="shared" si="0"/>
        <v>1.0267146724349487</v>
      </c>
      <c r="F56" s="210"/>
    </row>
    <row r="57" spans="1:6" ht="12.75">
      <c r="A57" s="11">
        <v>2264</v>
      </c>
      <c r="B57" s="12" t="s">
        <v>161</v>
      </c>
      <c r="C57" s="405">
        <f>SUM('- 30 -'!C57,'- 30 -'!E57,'- 31 -'!E57)</f>
        <v>70529</v>
      </c>
      <c r="D57" s="405">
        <v>0</v>
      </c>
      <c r="E57" s="354">
        <f ca="1" t="shared" si="0"/>
      </c>
      <c r="F57" s="210"/>
    </row>
    <row r="58" spans="1:6" ht="12.75">
      <c r="A58" s="13">
        <v>2309</v>
      </c>
      <c r="B58" s="14" t="s">
        <v>162</v>
      </c>
      <c r="C58" s="406">
        <f>SUM('- 30 -'!C58,'- 30 -'!E58,'- 31 -'!E58)</f>
        <v>46533</v>
      </c>
      <c r="D58" s="406">
        <v>23397</v>
      </c>
      <c r="E58" s="355">
        <f ca="1" t="shared" si="0"/>
        <v>1.9888447236825233</v>
      </c>
      <c r="F58" s="210"/>
    </row>
    <row r="59" spans="1:6" ht="12.75">
      <c r="A59" s="11">
        <v>2312</v>
      </c>
      <c r="B59" s="12" t="s">
        <v>163</v>
      </c>
      <c r="C59" s="405">
        <f>SUM('- 30 -'!C59,'- 30 -'!E59,'- 31 -'!E59)</f>
        <v>4429</v>
      </c>
      <c r="D59" s="415" t="s">
        <v>347</v>
      </c>
      <c r="E59" s="354">
        <f ca="1" t="shared" si="0"/>
      </c>
      <c r="F59" s="210"/>
    </row>
    <row r="60" spans="1:6" ht="12.75">
      <c r="A60" s="13">
        <v>2355</v>
      </c>
      <c r="B60" s="14" t="s">
        <v>164</v>
      </c>
      <c r="C60" s="406">
        <f>SUM('- 30 -'!C60,'- 30 -'!E60,'- 31 -'!E60)</f>
        <v>87302</v>
      </c>
      <c r="D60" s="416" t="s">
        <v>347</v>
      </c>
      <c r="E60" s="355">
        <f ca="1" t="shared" si="0"/>
      </c>
      <c r="F60" s="210"/>
    </row>
    <row r="61" spans="1:6" ht="12.75">
      <c r="A61" s="11">
        <v>2439</v>
      </c>
      <c r="B61" s="12" t="s">
        <v>165</v>
      </c>
      <c r="C61" s="405">
        <f>SUM('- 30 -'!C61,'- 30 -'!E61,'- 31 -'!E61)</f>
        <v>112951.09999999999</v>
      </c>
      <c r="D61" s="405">
        <v>145542</v>
      </c>
      <c r="E61" s="354">
        <f ca="1" t="shared" si="0"/>
        <v>0.7760721990902969</v>
      </c>
      <c r="F61" s="210"/>
    </row>
    <row r="62" spans="1:6" ht="12.75">
      <c r="A62" s="13">
        <v>2460</v>
      </c>
      <c r="B62" s="14" t="s">
        <v>166</v>
      </c>
      <c r="C62" s="406">
        <f>SUM('- 30 -'!C62,'- 30 -'!E62,'- 31 -'!E62)</f>
        <v>15109</v>
      </c>
      <c r="D62" s="416" t="s">
        <v>347</v>
      </c>
      <c r="E62" s="355">
        <f ca="1" t="shared" si="0"/>
      </c>
      <c r="F62" s="210"/>
    </row>
    <row r="63" spans="1:6" ht="12.75">
      <c r="A63" s="11">
        <v>3000</v>
      </c>
      <c r="B63" s="12" t="s">
        <v>366</v>
      </c>
      <c r="C63" s="405">
        <f>SUM('- 30 -'!C63,'- 30 -'!E63,'- 31 -'!E63)</f>
        <v>0</v>
      </c>
      <c r="D63" s="405">
        <v>0</v>
      </c>
      <c r="E63" s="354">
        <f ca="1" t="shared" si="0"/>
      </c>
      <c r="F63" s="210"/>
    </row>
    <row r="64" spans="1:6" ht="4.5" customHeight="1">
      <c r="A64" s="15"/>
      <c r="B64" s="15"/>
      <c r="C64" s="412"/>
      <c r="D64" s="412"/>
      <c r="E64" s="356"/>
      <c r="F64" s="210"/>
    </row>
    <row r="65" spans="1:6" ht="12.75">
      <c r="A65" s="17"/>
      <c r="B65" s="18" t="s">
        <v>167</v>
      </c>
      <c r="C65" s="407">
        <f>SUM(C11:C63)</f>
        <v>48419931.080000006</v>
      </c>
      <c r="D65" s="407">
        <f>SUM(D11:D63)</f>
        <v>33358455</v>
      </c>
      <c r="E65" s="357">
        <f>C65/D65</f>
        <v>1.4515040064055726</v>
      </c>
      <c r="F65" s="210"/>
    </row>
    <row r="66" spans="1:5" ht="4.5" customHeight="1">
      <c r="A66" s="15"/>
      <c r="B66" s="15"/>
      <c r="C66" s="412"/>
      <c r="D66" s="412"/>
      <c r="E66" s="356"/>
    </row>
    <row r="67" spans="1:6" ht="12.75">
      <c r="A67" s="13">
        <v>2155</v>
      </c>
      <c r="B67" s="14" t="s">
        <v>168</v>
      </c>
      <c r="C67" s="406">
        <f>SUM('- 30 -'!C67,'- 30 -'!E67,'- 31 -'!E67)</f>
        <v>59784.47</v>
      </c>
      <c r="D67" s="416" t="s">
        <v>347</v>
      </c>
      <c r="E67" s="355">
        <f ca="1">IF(AND(CELL("type",D67)="v",D67&gt;0),C67/D67,"")</f>
      </c>
      <c r="F67" s="210"/>
    </row>
    <row r="68" spans="1:6" ht="12.75">
      <c r="A68" s="11">
        <v>2408</v>
      </c>
      <c r="B68" s="12" t="s">
        <v>170</v>
      </c>
      <c r="C68" s="405">
        <f>SUM('- 30 -'!C68,'- 30 -'!E68,'- 31 -'!E68)</f>
        <v>21739</v>
      </c>
      <c r="D68" s="415" t="s">
        <v>347</v>
      </c>
      <c r="E68" s="354">
        <f ca="1">IF(AND(CELL("type",D68)="v",D68&gt;0),C68/D68,"")</f>
      </c>
      <c r="F68" s="210"/>
    </row>
    <row r="69" ht="6.75" customHeight="1"/>
    <row r="70" spans="1:5" ht="12" customHeight="1">
      <c r="A70" s="4"/>
      <c r="B70" s="4"/>
      <c r="C70" s="15"/>
      <c r="D70" s="15"/>
      <c r="E70" s="15"/>
    </row>
    <row r="71" spans="1:5" ht="12" customHeight="1">
      <c r="A71" s="4"/>
      <c r="B71" s="4"/>
      <c r="C71" s="15"/>
      <c r="D71" s="15"/>
      <c r="E71" s="15"/>
    </row>
    <row r="72" spans="1:5" ht="12" customHeight="1">
      <c r="A72" s="4"/>
      <c r="B72" s="4"/>
      <c r="C72" s="15"/>
      <c r="D72" s="15"/>
      <c r="E72" s="15"/>
    </row>
    <row r="73" spans="1:5" ht="12" customHeight="1">
      <c r="A73" s="4"/>
      <c r="B73" s="4"/>
      <c r="C73" s="15"/>
      <c r="D73" s="15"/>
      <c r="E73" s="15"/>
    </row>
    <row r="74" spans="1:5" ht="12" customHeight="1">
      <c r="A74" s="4"/>
      <c r="B74" s="4"/>
      <c r="C74" s="15"/>
      <c r="D74" s="15"/>
      <c r="E74" s="15"/>
    </row>
    <row r="75" spans="3:5" ht="12" customHeight="1">
      <c r="C75" s="15"/>
      <c r="D75" s="15"/>
      <c r="E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75"/>
  <sheetViews>
    <sheetView showGridLines="0" showZeros="0" workbookViewId="0" topLeftCell="A1">
      <selection activeCell="A1" sqref="A1"/>
    </sheetView>
  </sheetViews>
  <sheetFormatPr defaultColWidth="15.83203125" defaultRowHeight="12"/>
  <cols>
    <col min="1" max="1" width="6.83203125" style="79" customWidth="1"/>
    <col min="2" max="2" width="32.83203125" style="79" customWidth="1"/>
    <col min="3" max="3" width="16.83203125" style="79" customWidth="1"/>
    <col min="4" max="6" width="14.83203125" style="79" customWidth="1"/>
    <col min="7" max="7" width="16.83203125" style="79" customWidth="1"/>
    <col min="8" max="8" width="14.83203125" style="79" customWidth="1"/>
    <col min="9" max="16384" width="15.83203125" style="79" customWidth="1"/>
  </cols>
  <sheetData>
    <row r="1" spans="1:8" ht="6.75" customHeight="1">
      <c r="A1" s="15"/>
      <c r="B1" s="77"/>
      <c r="C1" s="139"/>
      <c r="D1" s="139"/>
      <c r="E1" s="139"/>
      <c r="F1" s="139"/>
      <c r="G1" s="139"/>
      <c r="H1" s="139"/>
    </row>
    <row r="2" spans="1:8" ht="12.75">
      <c r="A2" s="55" t="s">
        <v>305</v>
      </c>
      <c r="B2" s="195"/>
      <c r="C2" s="196"/>
      <c r="D2" s="196"/>
      <c r="E2" s="196"/>
      <c r="F2" s="196"/>
      <c r="G2" s="196"/>
      <c r="H2" s="196"/>
    </row>
    <row r="3" spans="1:8" ht="12.75">
      <c r="A3" s="58" t="str">
        <f>YEAR</f>
        <v>OPERATING FUND ACTUAL 2001/2002</v>
      </c>
      <c r="B3" s="198"/>
      <c r="C3" s="199"/>
      <c r="D3" s="199"/>
      <c r="E3" s="199"/>
      <c r="F3" s="199"/>
      <c r="G3" s="199"/>
      <c r="H3" s="199"/>
    </row>
    <row r="4" spans="1:8" ht="12.75">
      <c r="A4" s="8"/>
      <c r="C4" s="139"/>
      <c r="D4" s="139"/>
      <c r="E4" s="139"/>
      <c r="F4" s="139"/>
      <c r="G4" s="178"/>
      <c r="H4" s="139"/>
    </row>
    <row r="5" spans="1:8" ht="12.75">
      <c r="A5" s="8"/>
      <c r="C5" s="54"/>
      <c r="D5" s="54"/>
      <c r="E5" s="139"/>
      <c r="F5" s="139"/>
      <c r="G5" s="139"/>
      <c r="H5" s="139"/>
    </row>
    <row r="6" spans="1:9" ht="12.75">
      <c r="A6" s="8"/>
      <c r="C6" s="201"/>
      <c r="D6" s="421"/>
      <c r="E6" s="127"/>
      <c r="F6" s="202"/>
      <c r="G6" s="62" t="s">
        <v>35</v>
      </c>
      <c r="H6" s="63"/>
      <c r="I6" s="387"/>
    </row>
    <row r="7" spans="3:9" ht="12.75">
      <c r="C7" s="65" t="s">
        <v>68</v>
      </c>
      <c r="D7" s="66"/>
      <c r="E7" s="66"/>
      <c r="F7" s="67"/>
      <c r="G7" s="66" t="s">
        <v>73</v>
      </c>
      <c r="H7" s="67"/>
      <c r="I7" s="387" t="s">
        <v>500</v>
      </c>
    </row>
    <row r="8" spans="1:9" ht="12.75">
      <c r="A8" s="91"/>
      <c r="B8" s="43"/>
      <c r="C8" s="203" t="s">
        <v>3</v>
      </c>
      <c r="D8" s="226" t="s">
        <v>97</v>
      </c>
      <c r="E8" s="204" t="s">
        <v>97</v>
      </c>
      <c r="F8" s="204" t="s">
        <v>501</v>
      </c>
      <c r="G8" s="203" t="s">
        <v>3</v>
      </c>
      <c r="H8" s="203" t="s">
        <v>97</v>
      </c>
      <c r="I8" s="101" t="s">
        <v>502</v>
      </c>
    </row>
    <row r="9" spans="1:9" ht="16.5">
      <c r="A9" s="49" t="s">
        <v>101</v>
      </c>
      <c r="B9" s="50" t="s">
        <v>102</v>
      </c>
      <c r="C9" s="72" t="s">
        <v>103</v>
      </c>
      <c r="D9" s="73" t="s">
        <v>105</v>
      </c>
      <c r="E9" s="73" t="s">
        <v>498</v>
      </c>
      <c r="F9" s="73" t="s">
        <v>503</v>
      </c>
      <c r="G9" s="73" t="s">
        <v>103</v>
      </c>
      <c r="H9" s="73" t="s">
        <v>498</v>
      </c>
      <c r="I9" s="387" t="s">
        <v>497</v>
      </c>
    </row>
    <row r="10" spans="1:9" ht="4.5" customHeight="1">
      <c r="A10" s="74"/>
      <c r="B10" s="74"/>
      <c r="I10" s="422"/>
    </row>
    <row r="11" spans="1:9" ht="12.75">
      <c r="A11" s="11">
        <v>1</v>
      </c>
      <c r="B11" s="12" t="s">
        <v>116</v>
      </c>
      <c r="C11" s="405">
        <f>'- 32 -'!E11</f>
        <v>22197037</v>
      </c>
      <c r="D11" s="405">
        <f>C11/'- 7 -'!H11</f>
        <v>720.8398255464663</v>
      </c>
      <c r="E11" s="424">
        <f>C11/I11</f>
        <v>4.525354747506543</v>
      </c>
      <c r="F11" s="405">
        <f>I11/'- 7 -'!H11</f>
        <v>159.28913107721485</v>
      </c>
      <c r="G11" s="405">
        <f>'- 32 -'!G11</f>
        <v>7205069</v>
      </c>
      <c r="H11" s="424">
        <f>G11/I11</f>
        <v>1.4689119635770407</v>
      </c>
      <c r="I11" s="423">
        <v>4905038</v>
      </c>
    </row>
    <row r="12" spans="1:9" ht="12.75">
      <c r="A12" s="13">
        <v>2</v>
      </c>
      <c r="B12" s="14" t="s">
        <v>117</v>
      </c>
      <c r="C12" s="406">
        <f>'- 32 -'!E12</f>
        <v>5021055</v>
      </c>
      <c r="D12" s="406">
        <f>C12/'- 7 -'!H12</f>
        <v>549.2371910779742</v>
      </c>
      <c r="E12" s="425">
        <f aca="true" t="shared" si="0" ref="E12:E63">C12/I12</f>
        <v>3.3864382088022147</v>
      </c>
      <c r="F12" s="406">
        <f>I12/'- 7 -'!H12</f>
        <v>162.18727678254012</v>
      </c>
      <c r="G12" s="406">
        <f>'- 32 -'!G12</f>
        <v>908734</v>
      </c>
      <c r="H12" s="425">
        <f aca="true" t="shared" si="1" ref="H12:H63">G12/I12</f>
        <v>0.6128934136825173</v>
      </c>
      <c r="I12" s="423">
        <v>1482695</v>
      </c>
    </row>
    <row r="13" spans="1:9" ht="12.75">
      <c r="A13" s="11">
        <v>3</v>
      </c>
      <c r="B13" s="12" t="s">
        <v>118</v>
      </c>
      <c r="C13" s="405">
        <f>'- 32 -'!E13</f>
        <v>3943237</v>
      </c>
      <c r="D13" s="405">
        <f>C13/'- 7 -'!H13</f>
        <v>673.6545656444862</v>
      </c>
      <c r="E13" s="424">
        <f t="shared" si="0"/>
        <v>5.168401378332291</v>
      </c>
      <c r="F13" s="405">
        <f>I13/'- 7 -'!H13</f>
        <v>130.34099256854873</v>
      </c>
      <c r="G13" s="405">
        <f>'- 32 -'!G13</f>
        <v>512547</v>
      </c>
      <c r="H13" s="424">
        <f t="shared" si="1"/>
        <v>0.6717954364041727</v>
      </c>
      <c r="I13" s="423">
        <v>762951</v>
      </c>
    </row>
    <row r="14" spans="1:9" ht="12.75">
      <c r="A14" s="13">
        <v>4</v>
      </c>
      <c r="B14" s="14" t="s">
        <v>119</v>
      </c>
      <c r="C14" s="406">
        <f>'- 32 -'!E14</f>
        <v>4452769</v>
      </c>
      <c r="D14" s="406">
        <f>C14/'- 7 -'!H14</f>
        <v>753.2002097499915</v>
      </c>
      <c r="E14" s="425">
        <f t="shared" si="0"/>
        <v>4.376732034366943</v>
      </c>
      <c r="F14" s="406">
        <f>I14/'- 7 -'!H14</f>
        <v>172.09191785919685</v>
      </c>
      <c r="G14" s="406">
        <f>'- 32 -'!G14</f>
        <v>266570</v>
      </c>
      <c r="H14" s="425">
        <f t="shared" si="1"/>
        <v>0.26201796194709315</v>
      </c>
      <c r="I14" s="423">
        <v>1017373</v>
      </c>
    </row>
    <row r="15" spans="1:9" ht="12.75">
      <c r="A15" s="11">
        <v>5</v>
      </c>
      <c r="B15" s="12" t="s">
        <v>120</v>
      </c>
      <c r="C15" s="405">
        <f>'- 32 -'!E15</f>
        <v>3924578</v>
      </c>
      <c r="D15" s="405">
        <f>C15/'- 7 -'!H15</f>
        <v>544.0450808877551</v>
      </c>
      <c r="E15" s="424">
        <f t="shared" si="0"/>
        <v>4.233957509151186</v>
      </c>
      <c r="F15" s="405">
        <f>I15/'- 7 -'!H15</f>
        <v>128.49564024009868</v>
      </c>
      <c r="G15" s="405">
        <f>'- 32 -'!G15</f>
        <v>236221</v>
      </c>
      <c r="H15" s="424">
        <f t="shared" si="1"/>
        <v>0.25484260391033187</v>
      </c>
      <c r="I15" s="423">
        <v>926929</v>
      </c>
    </row>
    <row r="16" spans="1:9" ht="12.75">
      <c r="A16" s="13">
        <v>6</v>
      </c>
      <c r="B16" s="14" t="s">
        <v>121</v>
      </c>
      <c r="C16" s="406">
        <f>'- 32 -'!E16</f>
        <v>5592514</v>
      </c>
      <c r="D16" s="406">
        <f>C16/'- 7 -'!H16</f>
        <v>636.6705373406193</v>
      </c>
      <c r="E16" s="425">
        <f t="shared" si="0"/>
        <v>4.6043852903739975</v>
      </c>
      <c r="F16" s="406">
        <f>I16/'- 7 -'!H16</f>
        <v>138.27481785063753</v>
      </c>
      <c r="G16" s="406">
        <f>'- 32 -'!G16</f>
        <v>154217</v>
      </c>
      <c r="H16" s="425">
        <f t="shared" si="1"/>
        <v>0.1269687454203256</v>
      </c>
      <c r="I16" s="423">
        <v>1214606</v>
      </c>
    </row>
    <row r="17" spans="1:9" ht="12.75">
      <c r="A17" s="11">
        <v>9</v>
      </c>
      <c r="B17" s="12" t="s">
        <v>122</v>
      </c>
      <c r="C17" s="405">
        <f>'- 32 -'!E17</f>
        <v>7756033</v>
      </c>
      <c r="D17" s="405">
        <f>C17/'- 7 -'!H17</f>
        <v>618.6662359313057</v>
      </c>
      <c r="E17" s="424">
        <f t="shared" si="0"/>
        <v>4.961197155575342</v>
      </c>
      <c r="F17" s="405">
        <f>I17/'- 7 -'!H17</f>
        <v>124.70099787025293</v>
      </c>
      <c r="G17" s="405">
        <f>'- 32 -'!G17</f>
        <v>376802</v>
      </c>
      <c r="H17" s="424">
        <f t="shared" si="1"/>
        <v>0.24102385982822663</v>
      </c>
      <c r="I17" s="423">
        <v>1563339</v>
      </c>
    </row>
    <row r="18" spans="1:9" ht="12.75">
      <c r="A18" s="13">
        <v>10</v>
      </c>
      <c r="B18" s="14" t="s">
        <v>123</v>
      </c>
      <c r="C18" s="406">
        <f>'- 32 -'!E18</f>
        <v>6224494.23</v>
      </c>
      <c r="D18" s="406">
        <f>C18/'- 7 -'!H18</f>
        <v>726.6087935562949</v>
      </c>
      <c r="E18" s="425">
        <f t="shared" si="0"/>
        <v>5.7453228164614805</v>
      </c>
      <c r="F18" s="406">
        <f>I18/'- 7 -'!H18</f>
        <v>126.46962003151812</v>
      </c>
      <c r="G18" s="406">
        <f>'- 32 -'!G18</f>
        <v>715588.52</v>
      </c>
      <c r="H18" s="425">
        <f t="shared" si="1"/>
        <v>0.6605013836046084</v>
      </c>
      <c r="I18" s="423">
        <v>1083402</v>
      </c>
    </row>
    <row r="19" spans="1:9" ht="12.75">
      <c r="A19" s="11">
        <v>11</v>
      </c>
      <c r="B19" s="12" t="s">
        <v>124</v>
      </c>
      <c r="C19" s="405">
        <f>'- 32 -'!E19</f>
        <v>2995380</v>
      </c>
      <c r="D19" s="405">
        <f>C19/'- 7 -'!H19</f>
        <v>635.220019085993</v>
      </c>
      <c r="E19" s="424">
        <f t="shared" si="0"/>
        <v>4.7008179484121255</v>
      </c>
      <c r="F19" s="405">
        <f>I19/'- 7 -'!H19</f>
        <v>135.1296787191178</v>
      </c>
      <c r="G19" s="405">
        <f>'- 32 -'!G19</f>
        <v>100295</v>
      </c>
      <c r="H19" s="424">
        <f t="shared" si="1"/>
        <v>0.1573985725136691</v>
      </c>
      <c r="I19" s="423">
        <v>637204</v>
      </c>
    </row>
    <row r="20" spans="1:9" ht="12.75">
      <c r="A20" s="13">
        <v>12</v>
      </c>
      <c r="B20" s="14" t="s">
        <v>125</v>
      </c>
      <c r="C20" s="406">
        <f>'- 32 -'!E20</f>
        <v>4531517</v>
      </c>
      <c r="D20" s="406">
        <f>C20/'- 7 -'!H20</f>
        <v>587.0601114133955</v>
      </c>
      <c r="E20" s="425">
        <f t="shared" si="0"/>
        <v>3.910582913280571</v>
      </c>
      <c r="F20" s="406">
        <f>I20/'- 7 -'!H20</f>
        <v>150.12087057909056</v>
      </c>
      <c r="G20" s="406">
        <f>'- 32 -'!G20</f>
        <v>156185</v>
      </c>
      <c r="H20" s="425">
        <f t="shared" si="1"/>
        <v>0.1347836480169281</v>
      </c>
      <c r="I20" s="423">
        <v>1158783</v>
      </c>
    </row>
    <row r="21" spans="1:9" ht="12.75">
      <c r="A21" s="11">
        <v>13</v>
      </c>
      <c r="B21" s="12" t="s">
        <v>126</v>
      </c>
      <c r="C21" s="405">
        <f>'- 32 -'!E21</f>
        <v>1736553</v>
      </c>
      <c r="D21" s="405">
        <f>C21/'- 7 -'!H21</f>
        <v>649.3728965671977</v>
      </c>
      <c r="E21" s="424">
        <f t="shared" si="0"/>
        <v>4.428524796686805</v>
      </c>
      <c r="F21" s="405">
        <f>I21/'- 7 -'!H21</f>
        <v>146.63413357265725</v>
      </c>
      <c r="G21" s="405">
        <f>'- 32 -'!G21</f>
        <v>197603</v>
      </c>
      <c r="H21" s="424">
        <f t="shared" si="1"/>
        <v>0.5039234537613897</v>
      </c>
      <c r="I21" s="423">
        <v>392129</v>
      </c>
    </row>
    <row r="22" spans="1:9" ht="12.75">
      <c r="A22" s="13">
        <v>14</v>
      </c>
      <c r="B22" s="14" t="s">
        <v>127</v>
      </c>
      <c r="C22" s="406">
        <f>'- 32 -'!E22</f>
        <v>2247868</v>
      </c>
      <c r="D22" s="406">
        <f>C22/'- 7 -'!H22</f>
        <v>639.4162992461954</v>
      </c>
      <c r="E22" s="425">
        <f t="shared" si="0"/>
        <v>4.226149898006185</v>
      </c>
      <c r="F22" s="406">
        <f>I22/'- 7 -'!H22</f>
        <v>151.29995733181624</v>
      </c>
      <c r="G22" s="406">
        <f>'- 32 -'!G22</f>
        <v>200436</v>
      </c>
      <c r="H22" s="425">
        <f t="shared" si="1"/>
        <v>0.376833773583132</v>
      </c>
      <c r="I22" s="423">
        <v>531895</v>
      </c>
    </row>
    <row r="23" spans="1:9" ht="12.75">
      <c r="A23" s="11">
        <v>15</v>
      </c>
      <c r="B23" s="12" t="s">
        <v>128</v>
      </c>
      <c r="C23" s="405">
        <f>'- 32 -'!E23</f>
        <v>3113913</v>
      </c>
      <c r="D23" s="405">
        <f>C23/'- 7 -'!H23</f>
        <v>519.505005005005</v>
      </c>
      <c r="E23" s="424">
        <f t="shared" si="0"/>
        <v>4.182994323112428</v>
      </c>
      <c r="F23" s="405">
        <f>I23/'- 7 -'!H23</f>
        <v>124.19452786119453</v>
      </c>
      <c r="G23" s="405">
        <f>'- 32 -'!G23</f>
        <v>186911</v>
      </c>
      <c r="H23" s="424">
        <f t="shared" si="1"/>
        <v>0.2510820475482992</v>
      </c>
      <c r="I23" s="423">
        <v>744422</v>
      </c>
    </row>
    <row r="24" spans="1:9" ht="12.75">
      <c r="A24" s="13">
        <v>16</v>
      </c>
      <c r="B24" s="14" t="s">
        <v>129</v>
      </c>
      <c r="C24" s="406">
        <f>'- 32 -'!E24</f>
        <v>646459</v>
      </c>
      <c r="D24" s="406">
        <f>C24/'- 7 -'!H24</f>
        <v>768.8617982873454</v>
      </c>
      <c r="E24" s="425">
        <f t="shared" si="0"/>
        <v>4.273374494301806</v>
      </c>
      <c r="F24" s="406">
        <f>I24/'- 7 -'!H24</f>
        <v>179.91912464319697</v>
      </c>
      <c r="G24" s="406">
        <f>'- 32 -'!G24</f>
        <v>21235</v>
      </c>
      <c r="H24" s="425">
        <f t="shared" si="1"/>
        <v>0.14037256405510457</v>
      </c>
      <c r="I24" s="423">
        <v>151276</v>
      </c>
    </row>
    <row r="25" spans="1:9" ht="12.75">
      <c r="A25" s="11">
        <v>17</v>
      </c>
      <c r="B25" s="12" t="s">
        <v>130</v>
      </c>
      <c r="C25" s="405">
        <f>'- 32 -'!E25</f>
        <v>307454</v>
      </c>
      <c r="D25" s="405">
        <f>C25/'- 7 -'!H25</f>
        <v>630.0286885245902</v>
      </c>
      <c r="E25" s="424">
        <f t="shared" si="0"/>
        <v>3.6195757104848014</v>
      </c>
      <c r="F25" s="405">
        <f>I25/'- 7 -'!H25</f>
        <v>174.06147540983608</v>
      </c>
      <c r="G25" s="405">
        <f>'- 32 -'!G25</f>
        <v>47034</v>
      </c>
      <c r="H25" s="424">
        <f t="shared" si="1"/>
        <v>0.5537190082644629</v>
      </c>
      <c r="I25" s="423">
        <v>84942</v>
      </c>
    </row>
    <row r="26" spans="1:9" ht="12.75">
      <c r="A26" s="13">
        <v>18</v>
      </c>
      <c r="B26" s="14" t="s">
        <v>131</v>
      </c>
      <c r="C26" s="406">
        <f>'- 32 -'!E26</f>
        <v>832965.4</v>
      </c>
      <c r="D26" s="406">
        <f>C26/'- 7 -'!H26</f>
        <v>566.4504590275417</v>
      </c>
      <c r="E26" s="425">
        <f t="shared" si="0"/>
        <v>4.195411550200965</v>
      </c>
      <c r="F26" s="406">
        <f>I26/'- 7 -'!H26</f>
        <v>135.01666099966</v>
      </c>
      <c r="G26" s="406">
        <f>'- 32 -'!G26</f>
        <v>50462</v>
      </c>
      <c r="H26" s="425">
        <f t="shared" si="1"/>
        <v>0.25416284715576554</v>
      </c>
      <c r="I26" s="423">
        <v>198542</v>
      </c>
    </row>
    <row r="27" spans="1:9" ht="12.75">
      <c r="A27" s="11">
        <v>19</v>
      </c>
      <c r="B27" s="12" t="s">
        <v>132</v>
      </c>
      <c r="C27" s="405">
        <f>'- 32 -'!E27</f>
        <v>1076720.47</v>
      </c>
      <c r="D27" s="405">
        <f>C27/'- 7 -'!H27</f>
        <v>579.3491902071563</v>
      </c>
      <c r="E27" s="424">
        <f t="shared" si="0"/>
        <v>3.7591444591466585</v>
      </c>
      <c r="F27" s="405">
        <f>I27/'- 7 -'!H27</f>
        <v>154.1172988969599</v>
      </c>
      <c r="G27" s="405">
        <f>'- 32 -'!G27</f>
        <v>81033.17</v>
      </c>
      <c r="H27" s="424">
        <f t="shared" si="1"/>
        <v>0.2829103750693894</v>
      </c>
      <c r="I27" s="423">
        <v>286427</v>
      </c>
    </row>
    <row r="28" spans="1:9" ht="12.75">
      <c r="A28" s="13">
        <v>20</v>
      </c>
      <c r="B28" s="14" t="s">
        <v>133</v>
      </c>
      <c r="C28" s="406">
        <f>'- 32 -'!E28</f>
        <v>521187</v>
      </c>
      <c r="D28" s="406">
        <f>C28/'- 7 -'!H28</f>
        <v>546.0314300680985</v>
      </c>
      <c r="E28" s="425">
        <f t="shared" si="0"/>
        <v>2.983513558380894</v>
      </c>
      <c r="F28" s="406">
        <f>I28/'- 7 -'!H28</f>
        <v>183.01623886851755</v>
      </c>
      <c r="G28" s="406">
        <f>'- 32 -'!G28</f>
        <v>44203</v>
      </c>
      <c r="H28" s="425">
        <f t="shared" si="1"/>
        <v>0.2530382565587988</v>
      </c>
      <c r="I28" s="423">
        <v>174689</v>
      </c>
    </row>
    <row r="29" spans="1:9" ht="12.75">
      <c r="A29" s="11">
        <v>21</v>
      </c>
      <c r="B29" s="12" t="s">
        <v>134</v>
      </c>
      <c r="C29" s="405">
        <f>'- 32 -'!E29</f>
        <v>1883363</v>
      </c>
      <c r="D29" s="405">
        <f>C29/'- 7 -'!H29</f>
        <v>548.8454028850357</v>
      </c>
      <c r="E29" s="424">
        <f t="shared" si="0"/>
        <v>4.260645602064986</v>
      </c>
      <c r="F29" s="405">
        <f>I29/'- 7 -'!H29</f>
        <v>128.81742678129098</v>
      </c>
      <c r="G29" s="405">
        <f>'- 32 -'!G29</f>
        <v>348991</v>
      </c>
      <c r="H29" s="424">
        <f t="shared" si="1"/>
        <v>0.7895063082954594</v>
      </c>
      <c r="I29" s="423">
        <v>442037</v>
      </c>
    </row>
    <row r="30" spans="1:9" ht="12.75">
      <c r="A30" s="13">
        <v>22</v>
      </c>
      <c r="B30" s="14" t="s">
        <v>135</v>
      </c>
      <c r="C30" s="406">
        <f>'- 32 -'!E30</f>
        <v>1154910</v>
      </c>
      <c r="D30" s="406">
        <f>C30/'- 7 -'!H30</f>
        <v>654.1546304163127</v>
      </c>
      <c r="E30" s="425">
        <f t="shared" si="0"/>
        <v>4.55835744254246</v>
      </c>
      <c r="F30" s="406">
        <f>I30/'- 7 -'!H30</f>
        <v>143.50665533843105</v>
      </c>
      <c r="G30" s="406">
        <f>'- 32 -'!G30</f>
        <v>104083</v>
      </c>
      <c r="H30" s="425">
        <f t="shared" si="1"/>
        <v>0.41080908269228494</v>
      </c>
      <c r="I30" s="423">
        <v>253361</v>
      </c>
    </row>
    <row r="31" spans="1:9" ht="12.75">
      <c r="A31" s="11">
        <v>23</v>
      </c>
      <c r="B31" s="12" t="s">
        <v>136</v>
      </c>
      <c r="C31" s="405">
        <f>'- 32 -'!E31</f>
        <v>781474</v>
      </c>
      <c r="D31" s="405">
        <f>C31/'- 7 -'!H31</f>
        <v>543.4450625869263</v>
      </c>
      <c r="E31" s="424">
        <f t="shared" si="0"/>
        <v>3.5149598790975496</v>
      </c>
      <c r="F31" s="405">
        <f>I31/'- 7 -'!H31</f>
        <v>154.60917941585535</v>
      </c>
      <c r="G31" s="405">
        <f>'- 32 -'!G31</f>
        <v>114871</v>
      </c>
      <c r="H31" s="424">
        <f t="shared" si="1"/>
        <v>0.5166735633838293</v>
      </c>
      <c r="I31" s="423">
        <v>222328</v>
      </c>
    </row>
    <row r="32" spans="1:9" ht="12.75">
      <c r="A32" s="13">
        <v>24</v>
      </c>
      <c r="B32" s="14" t="s">
        <v>137</v>
      </c>
      <c r="C32" s="406">
        <f>'- 32 -'!E32</f>
        <v>2430125</v>
      </c>
      <c r="D32" s="406">
        <f>C32/'- 7 -'!H32</f>
        <v>680.1357402742793</v>
      </c>
      <c r="E32" s="425">
        <f t="shared" si="0"/>
        <v>3.8718946771356464</v>
      </c>
      <c r="F32" s="406">
        <f>I32/'- 7 -'!H32</f>
        <v>175.65966974531207</v>
      </c>
      <c r="G32" s="406">
        <f>'- 32 -'!G32</f>
        <v>170593</v>
      </c>
      <c r="H32" s="425">
        <f t="shared" si="1"/>
        <v>0.2718041782445764</v>
      </c>
      <c r="I32" s="423">
        <v>627632</v>
      </c>
    </row>
    <row r="33" spans="1:9" ht="12.75">
      <c r="A33" s="11">
        <v>25</v>
      </c>
      <c r="B33" s="12" t="s">
        <v>138</v>
      </c>
      <c r="C33" s="405">
        <f>'- 32 -'!E33</f>
        <v>878421</v>
      </c>
      <c r="D33" s="405">
        <f>C33/'- 7 -'!H33</f>
        <v>602.0293331505723</v>
      </c>
      <c r="E33" s="424">
        <f t="shared" si="0"/>
        <v>3.9232036944404745</v>
      </c>
      <c r="F33" s="405">
        <f>I33/'- 7 -'!H33</f>
        <v>153.45349873209514</v>
      </c>
      <c r="G33" s="405">
        <f>'- 32 -'!G33</f>
        <v>139924</v>
      </c>
      <c r="H33" s="424">
        <f t="shared" si="1"/>
        <v>0.6249285408032014</v>
      </c>
      <c r="I33" s="423">
        <v>223904</v>
      </c>
    </row>
    <row r="34" spans="1:9" ht="12.75">
      <c r="A34" s="13">
        <v>26</v>
      </c>
      <c r="B34" s="14" t="s">
        <v>139</v>
      </c>
      <c r="C34" s="406">
        <f>'- 32 -'!E34</f>
        <v>1362999</v>
      </c>
      <c r="D34" s="406">
        <f>C34/'- 7 -'!H34</f>
        <v>479.4059301466709</v>
      </c>
      <c r="E34" s="425">
        <f t="shared" si="0"/>
        <v>4.022924488205709</v>
      </c>
      <c r="F34" s="406">
        <f>I34/'- 7 -'!H34</f>
        <v>119.16851324258732</v>
      </c>
      <c r="G34" s="406">
        <f>'- 32 -'!G34</f>
        <v>50975</v>
      </c>
      <c r="H34" s="425">
        <f t="shared" si="1"/>
        <v>0.15045394441689688</v>
      </c>
      <c r="I34" s="423">
        <v>338808</v>
      </c>
    </row>
    <row r="35" spans="1:9" ht="12.75">
      <c r="A35" s="11">
        <v>28</v>
      </c>
      <c r="B35" s="12" t="s">
        <v>140</v>
      </c>
      <c r="C35" s="405">
        <f>'- 32 -'!E35</f>
        <v>445278</v>
      </c>
      <c r="D35" s="405">
        <f>C35/'- 7 -'!H35</f>
        <v>505.23986747152003</v>
      </c>
      <c r="E35" s="424">
        <f t="shared" si="0"/>
        <v>3.0027311165208945</v>
      </c>
      <c r="F35" s="405">
        <f>I35/'- 7 -'!H35</f>
        <v>168.26010983524714</v>
      </c>
      <c r="G35" s="405">
        <f>'- 32 -'!G35</f>
        <v>63819</v>
      </c>
      <c r="H35" s="424">
        <f t="shared" si="1"/>
        <v>0.4303632722147669</v>
      </c>
      <c r="I35" s="423">
        <v>148291</v>
      </c>
    </row>
    <row r="36" spans="1:9" ht="12.75">
      <c r="A36" s="13">
        <v>30</v>
      </c>
      <c r="B36" s="14" t="s">
        <v>141</v>
      </c>
      <c r="C36" s="406">
        <f>'- 32 -'!E36</f>
        <v>765515</v>
      </c>
      <c r="D36" s="406">
        <f>C36/'- 7 -'!H36</f>
        <v>588.0886532995314</v>
      </c>
      <c r="E36" s="425">
        <f t="shared" si="0"/>
        <v>3.6631893767197035</v>
      </c>
      <c r="F36" s="406">
        <f>I36/'- 7 -'!H36</f>
        <v>160.5400629945456</v>
      </c>
      <c r="G36" s="406">
        <f>'- 32 -'!G36</f>
        <v>179295</v>
      </c>
      <c r="H36" s="425">
        <f t="shared" si="1"/>
        <v>0.8579734417992583</v>
      </c>
      <c r="I36" s="423">
        <v>208975</v>
      </c>
    </row>
    <row r="37" spans="1:9" ht="12.75">
      <c r="A37" s="11">
        <v>31</v>
      </c>
      <c r="B37" s="12" t="s">
        <v>142</v>
      </c>
      <c r="C37" s="405">
        <f>'- 32 -'!E37</f>
        <v>877453</v>
      </c>
      <c r="D37" s="405">
        <f>C37/'- 7 -'!H37</f>
        <v>531.4675953967293</v>
      </c>
      <c r="E37" s="424">
        <f t="shared" si="0"/>
        <v>3.751691023678607</v>
      </c>
      <c r="F37" s="405">
        <f>I37/'- 7 -'!H37</f>
        <v>141.66081162931556</v>
      </c>
      <c r="G37" s="405">
        <f>'- 32 -'!G37</f>
        <v>216399</v>
      </c>
      <c r="H37" s="424">
        <f t="shared" si="1"/>
        <v>0.9252486296508495</v>
      </c>
      <c r="I37" s="423">
        <v>233882</v>
      </c>
    </row>
    <row r="38" spans="1:9" ht="12.75">
      <c r="A38" s="13">
        <v>32</v>
      </c>
      <c r="B38" s="14" t="s">
        <v>143</v>
      </c>
      <c r="C38" s="406">
        <f>'- 32 -'!E38</f>
        <v>606548</v>
      </c>
      <c r="D38" s="406">
        <f>C38/'- 7 -'!H38</f>
        <v>731.6622436670688</v>
      </c>
      <c r="E38" s="425">
        <f t="shared" si="0"/>
        <v>2.9294901206960673</v>
      </c>
      <c r="F38" s="406">
        <f>I38/'- 7 -'!H38</f>
        <v>249.75753920386006</v>
      </c>
      <c r="G38" s="406">
        <f>'- 32 -'!G38</f>
        <v>46471</v>
      </c>
      <c r="H38" s="425">
        <f t="shared" si="1"/>
        <v>0.22444445517727687</v>
      </c>
      <c r="I38" s="423">
        <v>207049</v>
      </c>
    </row>
    <row r="39" spans="1:9" ht="12.75">
      <c r="A39" s="11">
        <v>33</v>
      </c>
      <c r="B39" s="12" t="s">
        <v>144</v>
      </c>
      <c r="C39" s="405">
        <f>'- 32 -'!E39</f>
        <v>1264965</v>
      </c>
      <c r="D39" s="405">
        <f>C39/'- 7 -'!H39</f>
        <v>664.7214923804519</v>
      </c>
      <c r="E39" s="424">
        <f t="shared" si="0"/>
        <v>2.5235857055362816</v>
      </c>
      <c r="F39" s="405">
        <f>I39/'- 7 -'!H39</f>
        <v>263.4035733053074</v>
      </c>
      <c r="G39" s="405">
        <f>'- 32 -'!G39</f>
        <v>40150</v>
      </c>
      <c r="H39" s="424">
        <f t="shared" si="1"/>
        <v>0.08009863203905382</v>
      </c>
      <c r="I39" s="423">
        <v>501257</v>
      </c>
    </row>
    <row r="40" spans="1:9" ht="12.75">
      <c r="A40" s="13">
        <v>34</v>
      </c>
      <c r="B40" s="14" t="s">
        <v>145</v>
      </c>
      <c r="C40" s="406">
        <f>'- 32 -'!E40</f>
        <v>654479.94</v>
      </c>
      <c r="D40" s="406">
        <f>C40/'- 7 -'!H40</f>
        <v>892.8784993178717</v>
      </c>
      <c r="E40" s="425">
        <f t="shared" si="0"/>
        <v>3.347946103832991</v>
      </c>
      <c r="F40" s="406">
        <f>I40/'- 7 -'!H40</f>
        <v>266.6944065484311</v>
      </c>
      <c r="G40" s="406">
        <f>'- 32 -'!G40</f>
        <v>30322</v>
      </c>
      <c r="H40" s="425">
        <f t="shared" si="1"/>
        <v>0.15511005846936113</v>
      </c>
      <c r="I40" s="423">
        <v>195487</v>
      </c>
    </row>
    <row r="41" spans="1:9" ht="12.75">
      <c r="A41" s="11">
        <v>35</v>
      </c>
      <c r="B41" s="12" t="s">
        <v>146</v>
      </c>
      <c r="C41" s="405">
        <f>'- 32 -'!E41</f>
        <v>1307388</v>
      </c>
      <c r="D41" s="405">
        <f>C41/'- 7 -'!H41</f>
        <v>679.5862355754235</v>
      </c>
      <c r="E41" s="424">
        <f t="shared" si="0"/>
        <v>3.891545321411137</v>
      </c>
      <c r="F41" s="405">
        <f>I41/'- 7 -'!H41</f>
        <v>174.63145857157707</v>
      </c>
      <c r="G41" s="405">
        <f>'- 32 -'!G41</f>
        <v>111752</v>
      </c>
      <c r="H41" s="424">
        <f t="shared" si="1"/>
        <v>0.3326387979378252</v>
      </c>
      <c r="I41" s="423">
        <v>335956</v>
      </c>
    </row>
    <row r="42" spans="1:9" ht="12.75">
      <c r="A42" s="13">
        <v>36</v>
      </c>
      <c r="B42" s="14" t="s">
        <v>147</v>
      </c>
      <c r="C42" s="406">
        <f>'- 32 -'!E42</f>
        <v>895368</v>
      </c>
      <c r="D42" s="406">
        <f>C42/'- 7 -'!H42</f>
        <v>887.8215171046108</v>
      </c>
      <c r="E42" s="425">
        <f t="shared" si="0"/>
        <v>3.576650674890248</v>
      </c>
      <c r="F42" s="406">
        <f>I42/'- 7 -'!H42</f>
        <v>248.2270699058007</v>
      </c>
      <c r="G42" s="406">
        <f>'- 32 -'!G42</f>
        <v>56277</v>
      </c>
      <c r="H42" s="425">
        <f t="shared" si="1"/>
        <v>0.22480496290999732</v>
      </c>
      <c r="I42" s="423">
        <v>250337</v>
      </c>
    </row>
    <row r="43" spans="1:9" ht="12.75">
      <c r="A43" s="11">
        <v>37</v>
      </c>
      <c r="B43" s="12" t="s">
        <v>148</v>
      </c>
      <c r="C43" s="405">
        <f>'- 32 -'!E43</f>
        <v>673555</v>
      </c>
      <c r="D43" s="405">
        <f>C43/'- 7 -'!H43</f>
        <v>699.4340602284527</v>
      </c>
      <c r="E43" s="424">
        <f t="shared" si="0"/>
        <v>3.6490037164248643</v>
      </c>
      <c r="F43" s="405">
        <f>I43/'- 7 -'!H43</f>
        <v>191.67808930425753</v>
      </c>
      <c r="G43" s="405">
        <f>'- 32 -'!G43</f>
        <v>42055</v>
      </c>
      <c r="H43" s="424">
        <f t="shared" si="1"/>
        <v>0.22783418027369357</v>
      </c>
      <c r="I43" s="423">
        <v>184586</v>
      </c>
    </row>
    <row r="44" spans="1:9" ht="12.75">
      <c r="A44" s="13">
        <v>38</v>
      </c>
      <c r="B44" s="14" t="s">
        <v>149</v>
      </c>
      <c r="C44" s="406">
        <f>'- 32 -'!E44</f>
        <v>852651</v>
      </c>
      <c r="D44" s="406">
        <f>C44/'- 7 -'!H44</f>
        <v>730.0094178082192</v>
      </c>
      <c r="E44" s="425">
        <f t="shared" si="0"/>
        <v>3.609975740178583</v>
      </c>
      <c r="F44" s="406">
        <f>I44/'- 7 -'!H44</f>
        <v>202.22003424657535</v>
      </c>
      <c r="G44" s="406">
        <f>'- 32 -'!G44</f>
        <v>57896</v>
      </c>
      <c r="H44" s="425">
        <f t="shared" si="1"/>
        <v>0.24512157430575843</v>
      </c>
      <c r="I44" s="423">
        <v>236193</v>
      </c>
    </row>
    <row r="45" spans="1:9" ht="12.75">
      <c r="A45" s="11">
        <v>39</v>
      </c>
      <c r="B45" s="12" t="s">
        <v>150</v>
      </c>
      <c r="C45" s="405">
        <f>'- 32 -'!E45</f>
        <v>1438029</v>
      </c>
      <c r="D45" s="405">
        <f>C45/'- 7 -'!H45</f>
        <v>678.3155660377358</v>
      </c>
      <c r="E45" s="424">
        <f t="shared" si="0"/>
        <v>4.327437143587969</v>
      </c>
      <c r="F45" s="405">
        <f>I45/'- 7 -'!H45</f>
        <v>156.74764150943398</v>
      </c>
      <c r="G45" s="405">
        <f>'- 32 -'!G45</f>
        <v>83491</v>
      </c>
      <c r="H45" s="424">
        <f t="shared" si="1"/>
        <v>0.25124810038970224</v>
      </c>
      <c r="I45" s="423">
        <v>332305</v>
      </c>
    </row>
    <row r="46" spans="1:9" ht="12.75">
      <c r="A46" s="13">
        <v>40</v>
      </c>
      <c r="B46" s="14" t="s">
        <v>151</v>
      </c>
      <c r="C46" s="406">
        <f>'- 32 -'!E46</f>
        <v>3713348</v>
      </c>
      <c r="D46" s="406">
        <f>C46/'- 7 -'!H46</f>
        <v>501.73598162410485</v>
      </c>
      <c r="E46" s="425">
        <f t="shared" si="0"/>
        <v>3.4854648243210646</v>
      </c>
      <c r="F46" s="406">
        <f>I46/'- 7 -'!H46</f>
        <v>143.95095257397648</v>
      </c>
      <c r="G46" s="406">
        <f>'- 32 -'!G46</f>
        <v>288853</v>
      </c>
      <c r="H46" s="425">
        <f t="shared" si="1"/>
        <v>0.27112647963498504</v>
      </c>
      <c r="I46" s="423">
        <v>1065381</v>
      </c>
    </row>
    <row r="47" spans="1:9" ht="12.75">
      <c r="A47" s="11">
        <v>41</v>
      </c>
      <c r="B47" s="12" t="s">
        <v>152</v>
      </c>
      <c r="C47" s="405">
        <f>'- 32 -'!E47</f>
        <v>1171514</v>
      </c>
      <c r="D47" s="405">
        <f>C47/'- 7 -'!H47</f>
        <v>707.5641722534275</v>
      </c>
      <c r="E47" s="424">
        <f t="shared" si="0"/>
        <v>4.3406126804398735</v>
      </c>
      <c r="F47" s="405">
        <f>I47/'- 7 -'!H47</f>
        <v>163.0102071631334</v>
      </c>
      <c r="G47" s="405">
        <f>'- 32 -'!G47</f>
        <v>251189</v>
      </c>
      <c r="H47" s="424">
        <f t="shared" si="1"/>
        <v>0.9306881169042891</v>
      </c>
      <c r="I47" s="423">
        <v>269896</v>
      </c>
    </row>
    <row r="48" spans="1:9" ht="12.75">
      <c r="A48" s="13">
        <v>42</v>
      </c>
      <c r="B48" s="14" t="s">
        <v>153</v>
      </c>
      <c r="C48" s="406">
        <f>'- 32 -'!E48</f>
        <v>699050</v>
      </c>
      <c r="D48" s="406">
        <f>C48/'- 7 -'!H48</f>
        <v>661.352885525071</v>
      </c>
      <c r="E48" s="425">
        <f t="shared" si="0"/>
        <v>4.186379370231522</v>
      </c>
      <c r="F48" s="406">
        <f>I48/'- 7 -'!H48</f>
        <v>157.97729422894986</v>
      </c>
      <c r="G48" s="406">
        <f>'- 32 -'!G48</f>
        <v>64921</v>
      </c>
      <c r="H48" s="425">
        <f t="shared" si="1"/>
        <v>0.388790408547029</v>
      </c>
      <c r="I48" s="423">
        <v>166982</v>
      </c>
    </row>
    <row r="49" spans="1:9" ht="12.75">
      <c r="A49" s="11">
        <v>43</v>
      </c>
      <c r="B49" s="12" t="s">
        <v>154</v>
      </c>
      <c r="C49" s="405">
        <f>'- 32 -'!E49</f>
        <v>532688</v>
      </c>
      <c r="D49" s="405">
        <f>C49/'- 7 -'!H49</f>
        <v>684.2491971740527</v>
      </c>
      <c r="E49" s="424">
        <f t="shared" si="0"/>
        <v>3.3949931168102787</v>
      </c>
      <c r="F49" s="405">
        <f>I49/'- 7 -'!H49</f>
        <v>201.5465639049454</v>
      </c>
      <c r="G49" s="405">
        <f>'- 32 -'!G49</f>
        <v>82950</v>
      </c>
      <c r="H49" s="424">
        <f t="shared" si="1"/>
        <v>0.5286672105236323</v>
      </c>
      <c r="I49" s="423">
        <v>156904</v>
      </c>
    </row>
    <row r="50" spans="1:9" ht="12.75">
      <c r="A50" s="13">
        <v>44</v>
      </c>
      <c r="B50" s="14" t="s">
        <v>155</v>
      </c>
      <c r="C50" s="406">
        <f>'- 32 -'!E50</f>
        <v>692145</v>
      </c>
      <c r="D50" s="406">
        <f>C50/'- 7 -'!H50</f>
        <v>556.6103739445115</v>
      </c>
      <c r="E50" s="425">
        <f t="shared" si="0"/>
        <v>3.6733767819044485</v>
      </c>
      <c r="F50" s="406">
        <f>I50/'- 7 -'!H50</f>
        <v>151.5255327704061</v>
      </c>
      <c r="G50" s="406">
        <f>'- 32 -'!G50</f>
        <v>89111</v>
      </c>
      <c r="H50" s="425">
        <f t="shared" si="1"/>
        <v>0.4729330969844286</v>
      </c>
      <c r="I50" s="423">
        <v>188422</v>
      </c>
    </row>
    <row r="51" spans="1:9" ht="12.75">
      <c r="A51" s="11">
        <v>45</v>
      </c>
      <c r="B51" s="12" t="s">
        <v>156</v>
      </c>
      <c r="C51" s="405">
        <f>'- 32 -'!E51</f>
        <v>1244364</v>
      </c>
      <c r="D51" s="405">
        <f>C51/'- 7 -'!H51</f>
        <v>660.4553898413036</v>
      </c>
      <c r="E51" s="424">
        <f t="shared" si="0"/>
        <v>3.6576564924987065</v>
      </c>
      <c r="F51" s="405">
        <f>I51/'- 7 -'!H51</f>
        <v>180.56791040815244</v>
      </c>
      <c r="G51" s="405">
        <f>'- 32 -'!G51</f>
        <v>55839</v>
      </c>
      <c r="H51" s="424">
        <f t="shared" si="1"/>
        <v>0.16413194281145652</v>
      </c>
      <c r="I51" s="423">
        <v>340208</v>
      </c>
    </row>
    <row r="52" spans="1:9" ht="12.75">
      <c r="A52" s="13">
        <v>46</v>
      </c>
      <c r="B52" s="14" t="s">
        <v>157</v>
      </c>
      <c r="C52" s="406">
        <f>'- 32 -'!E52</f>
        <v>1257188</v>
      </c>
      <c r="D52" s="406">
        <f>C52/'- 7 -'!H52</f>
        <v>874.6264087936552</v>
      </c>
      <c r="E52" s="425">
        <f t="shared" si="0"/>
        <v>5.419567878881934</v>
      </c>
      <c r="F52" s="406">
        <f>I52/'- 7 -'!H52</f>
        <v>161.38305273410325</v>
      </c>
      <c r="G52" s="406">
        <f>'- 32 -'!G52</f>
        <v>117176</v>
      </c>
      <c r="H52" s="425">
        <f t="shared" si="1"/>
        <v>0.5051299294742468</v>
      </c>
      <c r="I52" s="423">
        <v>231972</v>
      </c>
    </row>
    <row r="53" spans="1:9" ht="12.75">
      <c r="A53" s="11">
        <v>47</v>
      </c>
      <c r="B53" s="12" t="s">
        <v>158</v>
      </c>
      <c r="C53" s="405">
        <f>'- 32 -'!E53</f>
        <v>798047</v>
      </c>
      <c r="D53" s="405">
        <f>C53/'- 7 -'!H53</f>
        <v>551.7089526443139</v>
      </c>
      <c r="E53" s="424">
        <f t="shared" si="0"/>
        <v>4.366089844241532</v>
      </c>
      <c r="F53" s="405">
        <f>I53/'- 7 -'!H53</f>
        <v>126.36225371586589</v>
      </c>
      <c r="G53" s="405">
        <f>'- 32 -'!G53</f>
        <v>77344</v>
      </c>
      <c r="H53" s="424">
        <f t="shared" si="1"/>
        <v>0.42314657271190426</v>
      </c>
      <c r="I53" s="423">
        <v>182783</v>
      </c>
    </row>
    <row r="54" spans="1:9" ht="12.75">
      <c r="A54" s="13">
        <v>48</v>
      </c>
      <c r="B54" s="14" t="s">
        <v>159</v>
      </c>
      <c r="C54" s="406">
        <f>'- 32 -'!E54</f>
        <v>8294320</v>
      </c>
      <c r="D54" s="406">
        <f>C54/'- 7 -'!H54</f>
        <v>1586.609790156283</v>
      </c>
      <c r="E54" s="425">
        <f t="shared" si="0"/>
        <v>9.544957616683583</v>
      </c>
      <c r="F54" s="406">
        <f>I54/'- 7 -'!H54</f>
        <v>166.22491726763204</v>
      </c>
      <c r="G54" s="406">
        <f>'- 32 -'!G54</f>
        <v>638712</v>
      </c>
      <c r="H54" s="425">
        <f t="shared" si="1"/>
        <v>0.7350185391047374</v>
      </c>
      <c r="I54" s="423">
        <v>868974</v>
      </c>
    </row>
    <row r="55" spans="1:9" ht="12.75">
      <c r="A55" s="11">
        <v>49</v>
      </c>
      <c r="B55" s="12" t="s">
        <v>160</v>
      </c>
      <c r="C55" s="405">
        <f>'- 32 -'!E55</f>
        <v>3142545</v>
      </c>
      <c r="D55" s="405">
        <f>C55/'- 7 -'!H55</f>
        <v>737.5481130304167</v>
      </c>
      <c r="E55" s="424">
        <f t="shared" si="0"/>
        <v>4.4509257934715025</v>
      </c>
      <c r="F55" s="405">
        <f>I55/'- 7 -'!H55</f>
        <v>165.7066748028539</v>
      </c>
      <c r="G55" s="405">
        <f>'- 32 -'!G55</f>
        <v>329320</v>
      </c>
      <c r="H55" s="424">
        <f t="shared" si="1"/>
        <v>0.4664305148553275</v>
      </c>
      <c r="I55" s="423">
        <v>706043</v>
      </c>
    </row>
    <row r="56" spans="1:9" ht="12.75">
      <c r="A56" s="13">
        <v>50</v>
      </c>
      <c r="B56" s="14" t="s">
        <v>343</v>
      </c>
      <c r="C56" s="406">
        <f>'- 32 -'!E56</f>
        <v>1440841</v>
      </c>
      <c r="D56" s="406">
        <f>C56/'- 7 -'!H56</f>
        <v>817.5912160245134</v>
      </c>
      <c r="E56" s="425">
        <f t="shared" si="0"/>
        <v>3.9018737018271232</v>
      </c>
      <c r="F56" s="406">
        <f>I56/'- 7 -'!H56</f>
        <v>209.53810361459458</v>
      </c>
      <c r="G56" s="406">
        <f>'- 32 -'!G56</f>
        <v>176834</v>
      </c>
      <c r="H56" s="425">
        <f t="shared" si="1"/>
        <v>0.47887583306478476</v>
      </c>
      <c r="I56" s="423">
        <v>369269</v>
      </c>
    </row>
    <row r="57" spans="1:9" ht="12.75">
      <c r="A57" s="11">
        <v>2264</v>
      </c>
      <c r="B57" s="12" t="s">
        <v>161</v>
      </c>
      <c r="C57" s="405">
        <f>'- 32 -'!E57</f>
        <v>302783</v>
      </c>
      <c r="D57" s="405">
        <f>C57/'- 7 -'!H57</f>
        <v>1540.8804071246818</v>
      </c>
      <c r="E57" s="424">
        <f t="shared" si="0"/>
        <v>3.934904091074492</v>
      </c>
      <c r="F57" s="405">
        <f>I57/'- 7 -'!H57</f>
        <v>391.59287531806615</v>
      </c>
      <c r="G57" s="405">
        <f>'- 32 -'!G57</f>
        <v>10474</v>
      </c>
      <c r="H57" s="424">
        <f t="shared" si="1"/>
        <v>0.13611789780111244</v>
      </c>
      <c r="I57" s="423">
        <v>76948</v>
      </c>
    </row>
    <row r="58" spans="1:9" ht="12.75">
      <c r="A58" s="13">
        <v>2309</v>
      </c>
      <c r="B58" s="14" t="s">
        <v>162</v>
      </c>
      <c r="C58" s="406">
        <f>'- 32 -'!E58</f>
        <v>320367</v>
      </c>
      <c r="D58" s="406">
        <f>C58/'- 7 -'!H58</f>
        <v>1228.8722669735328</v>
      </c>
      <c r="E58" s="425">
        <f t="shared" si="0"/>
        <v>5.3137667938298225</v>
      </c>
      <c r="F58" s="406">
        <f>I58/'- 7 -'!H58</f>
        <v>231.2619869581895</v>
      </c>
      <c r="G58" s="406">
        <f>'- 32 -'!G58</f>
        <v>13156</v>
      </c>
      <c r="H58" s="425">
        <f t="shared" si="1"/>
        <v>0.2182119754519821</v>
      </c>
      <c r="I58" s="423">
        <v>60290</v>
      </c>
    </row>
    <row r="59" spans="1:9" ht="12.75">
      <c r="A59" s="11">
        <v>2312</v>
      </c>
      <c r="B59" s="12" t="s">
        <v>163</v>
      </c>
      <c r="C59" s="405">
        <f>'- 32 -'!E59</f>
        <v>254197</v>
      </c>
      <c r="D59" s="405">
        <f>C59/'- 7 -'!H59</f>
        <v>1460.9022988505747</v>
      </c>
      <c r="E59" s="424">
        <f t="shared" si="0"/>
        <v>4.286338189666801</v>
      </c>
      <c r="F59" s="405">
        <f>I59/'- 7 -'!H59</f>
        <v>340.82758620689657</v>
      </c>
      <c r="G59" s="405">
        <f>'- 32 -'!G59</f>
        <v>16222</v>
      </c>
      <c r="H59" s="424">
        <f t="shared" si="1"/>
        <v>0.2735397275057332</v>
      </c>
      <c r="I59" s="423">
        <v>59304</v>
      </c>
    </row>
    <row r="60" spans="1:9" ht="12.75">
      <c r="A60" s="13">
        <v>2355</v>
      </c>
      <c r="B60" s="14" t="s">
        <v>164</v>
      </c>
      <c r="C60" s="406">
        <f>'- 32 -'!E60</f>
        <v>2705032</v>
      </c>
      <c r="D60" s="406">
        <f>C60/'- 7 -'!H60</f>
        <v>814.4497636467647</v>
      </c>
      <c r="E60" s="425">
        <f t="shared" si="0"/>
        <v>5.867493818055616</v>
      </c>
      <c r="F60" s="406">
        <f>I60/'- 7 -'!H60</f>
        <v>138.8070936079246</v>
      </c>
      <c r="G60" s="406">
        <f>'- 32 -'!G60</f>
        <v>173066</v>
      </c>
      <c r="H60" s="425">
        <f t="shared" si="1"/>
        <v>0.3753980304542102</v>
      </c>
      <c r="I60" s="423">
        <v>461020</v>
      </c>
    </row>
    <row r="61" spans="1:9" ht="12.75">
      <c r="A61" s="11">
        <v>2439</v>
      </c>
      <c r="B61" s="12" t="s">
        <v>165</v>
      </c>
      <c r="C61" s="405">
        <f>'- 32 -'!E61</f>
        <v>134968.92</v>
      </c>
      <c r="D61" s="405">
        <f>C61/'- 7 -'!H61</f>
        <v>862.4212140575081</v>
      </c>
      <c r="E61" s="424">
        <f t="shared" si="0"/>
        <v>4.8649720650254125</v>
      </c>
      <c r="F61" s="405">
        <f>I61/'- 7 -'!H61</f>
        <v>177.27156549520768</v>
      </c>
      <c r="G61" s="405">
        <f>'- 32 -'!G61</f>
        <v>13969.11</v>
      </c>
      <c r="H61" s="424">
        <f t="shared" si="1"/>
        <v>0.5035183649929712</v>
      </c>
      <c r="I61" s="423">
        <v>27743</v>
      </c>
    </row>
    <row r="62" spans="1:9" ht="12.75">
      <c r="A62" s="13">
        <v>2460</v>
      </c>
      <c r="B62" s="14" t="s">
        <v>166</v>
      </c>
      <c r="C62" s="406">
        <f>'- 32 -'!E62</f>
        <v>373642</v>
      </c>
      <c r="D62" s="406">
        <f>C62/'- 7 -'!H62</f>
        <v>1372.6745040411463</v>
      </c>
      <c r="E62" s="425">
        <f t="shared" si="0"/>
        <v>4.532565051252502</v>
      </c>
      <c r="F62" s="406">
        <f>I62/'- 7 -'!H62</f>
        <v>302.8471711976488</v>
      </c>
      <c r="G62" s="406">
        <f>'- 32 -'!G62</f>
        <v>39404</v>
      </c>
      <c r="H62" s="425">
        <f t="shared" si="1"/>
        <v>0.4780008491538788</v>
      </c>
      <c r="I62" s="423">
        <v>82435</v>
      </c>
    </row>
    <row r="63" spans="1:9" ht="12.75">
      <c r="A63" s="11">
        <v>3000</v>
      </c>
      <c r="B63" s="12" t="s">
        <v>366</v>
      </c>
      <c r="C63" s="405">
        <f>'- 32 -'!E63</f>
        <v>533024</v>
      </c>
      <c r="D63" s="405">
        <f>C63/'- 7 -'!H63</f>
        <v>793.8993148644623</v>
      </c>
      <c r="E63" s="424">
        <f t="shared" si="0"/>
        <v>4.239433707150242</v>
      </c>
      <c r="F63" s="405">
        <f>I63/'- 7 -'!H63</f>
        <v>187.26541554959786</v>
      </c>
      <c r="G63" s="405">
        <f>'- 32 -'!G63</f>
        <v>31623</v>
      </c>
      <c r="H63" s="424">
        <f t="shared" si="1"/>
        <v>0.2515151515151515</v>
      </c>
      <c r="I63" s="423">
        <v>125730</v>
      </c>
    </row>
    <row r="64" spans="1:9" ht="4.5" customHeight="1">
      <c r="A64" s="15"/>
      <c r="B64" s="15"/>
      <c r="C64" s="412"/>
      <c r="D64" s="412"/>
      <c r="E64" s="426"/>
      <c r="F64" s="412"/>
      <c r="G64" s="412"/>
      <c r="H64" s="426"/>
      <c r="I64" s="423"/>
    </row>
    <row r="65" spans="1:9" ht="12.75">
      <c r="A65" s="17"/>
      <c r="B65" s="18" t="s">
        <v>167</v>
      </c>
      <c r="C65" s="407">
        <f>SUM(C11:C63)</f>
        <v>123004319.96000001</v>
      </c>
      <c r="D65" s="407">
        <f>C65/'- 7 -'!H65</f>
        <v>678.7138369827451</v>
      </c>
      <c r="E65" s="427">
        <f>C65/I65</f>
        <v>4.440695937310262</v>
      </c>
      <c r="F65" s="407">
        <f>I65/'- 7 -'!H65</f>
        <v>152.83952032839323</v>
      </c>
      <c r="G65" s="407">
        <f>SUM(G11:G63)</f>
        <v>15788672.799999999</v>
      </c>
      <c r="H65" s="427">
        <f>G65/I65</f>
        <v>0.5700018924642737</v>
      </c>
      <c r="I65" s="423">
        <f>SUM(I11:I63)</f>
        <v>27699334</v>
      </c>
    </row>
    <row r="66" spans="1:9" ht="4.5" customHeight="1">
      <c r="A66" s="15"/>
      <c r="B66" s="15"/>
      <c r="C66" s="412"/>
      <c r="D66" s="412"/>
      <c r="E66" s="412"/>
      <c r="F66" s="412"/>
      <c r="G66" s="412"/>
      <c r="H66" s="412"/>
      <c r="I66" s="423"/>
    </row>
    <row r="67" spans="1:9" ht="12.75">
      <c r="A67" s="13">
        <v>2155</v>
      </c>
      <c r="B67" s="14" t="s">
        <v>168</v>
      </c>
      <c r="C67" s="406">
        <f>'- 32 -'!E67</f>
        <v>103816.49</v>
      </c>
      <c r="D67" s="406">
        <f>C67/'- 7 -'!H67</f>
        <v>711.0718493150686</v>
      </c>
      <c r="E67" s="416" t="s">
        <v>347</v>
      </c>
      <c r="F67" s="416" t="s">
        <v>347</v>
      </c>
      <c r="G67" s="406">
        <f>'- 32 -'!G67</f>
        <v>40088.02</v>
      </c>
      <c r="H67" s="416" t="s">
        <v>347</v>
      </c>
      <c r="I67" s="423" t="s">
        <v>169</v>
      </c>
    </row>
    <row r="68" spans="1:9" ht="12.75">
      <c r="A68" s="11">
        <v>2408</v>
      </c>
      <c r="B68" s="12" t="s">
        <v>170</v>
      </c>
      <c r="C68" s="405">
        <f>'- 32 -'!E68</f>
        <v>258844</v>
      </c>
      <c r="D68" s="405">
        <f>C68/'- 7 -'!H68</f>
        <v>1003.2713178294574</v>
      </c>
      <c r="E68" s="415" t="s">
        <v>347</v>
      </c>
      <c r="F68" s="415" t="s">
        <v>347</v>
      </c>
      <c r="G68" s="405">
        <f>'- 32 -'!G68</f>
        <v>307</v>
      </c>
      <c r="H68" s="415" t="s">
        <v>347</v>
      </c>
      <c r="I68" s="423" t="s">
        <v>169</v>
      </c>
    </row>
    <row r="69" ht="6.75" customHeight="1"/>
    <row r="70" spans="1:8" ht="12" customHeight="1">
      <c r="A70" s="380" t="s">
        <v>354</v>
      </c>
      <c r="B70" s="268" t="s">
        <v>505</v>
      </c>
      <c r="C70" s="15"/>
      <c r="D70" s="15"/>
      <c r="E70" s="15"/>
      <c r="F70" s="15"/>
      <c r="G70" s="15"/>
      <c r="H70" s="15"/>
    </row>
    <row r="71" spans="1:8" ht="12" customHeight="1">
      <c r="A71" s="380" t="s">
        <v>355</v>
      </c>
      <c r="B71" s="268" t="s">
        <v>504</v>
      </c>
      <c r="C71" s="15"/>
      <c r="D71" s="15"/>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1:8" ht="12" customHeight="1">
      <c r="A74" s="4"/>
      <c r="B74" s="4"/>
      <c r="C74" s="15"/>
      <c r="D74" s="15"/>
      <c r="E74" s="15"/>
      <c r="F74" s="15"/>
      <c r="G74" s="15"/>
      <c r="H74" s="15"/>
    </row>
    <row r="75" spans="3:8" ht="12" customHeight="1">
      <c r="C75" s="15"/>
      <c r="D75" s="15"/>
      <c r="E75" s="15"/>
      <c r="F75" s="15"/>
      <c r="G75" s="15"/>
      <c r="H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K74"/>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5.83203125" style="79" customWidth="1"/>
    <col min="4" max="4" width="7.83203125" style="79" customWidth="1"/>
    <col min="5" max="5" width="9.83203125" style="79" customWidth="1"/>
    <col min="6" max="6" width="15.83203125" style="79" customWidth="1"/>
    <col min="7" max="7" width="7.83203125" style="79" customWidth="1"/>
    <col min="8" max="8" width="9.83203125" style="79" customWidth="1"/>
    <col min="9" max="9" width="15.83203125" style="79" customWidth="1"/>
    <col min="10" max="10" width="7.83203125" style="79" customWidth="1"/>
    <col min="11" max="11" width="9.83203125" style="79" customWidth="1"/>
    <col min="12" max="16384" width="15.83203125" style="79" customWidth="1"/>
  </cols>
  <sheetData>
    <row r="1" spans="1:11" ht="6.75" customHeight="1">
      <c r="A1" s="15"/>
      <c r="B1" s="77"/>
      <c r="C1" s="139"/>
      <c r="D1" s="139"/>
      <c r="E1" s="139"/>
      <c r="F1" s="139"/>
      <c r="G1" s="139"/>
      <c r="H1" s="139"/>
      <c r="I1" s="139"/>
      <c r="J1" s="139"/>
      <c r="K1" s="139"/>
    </row>
    <row r="2" spans="1:11" ht="12.75">
      <c r="A2" s="6"/>
      <c r="B2" s="80"/>
      <c r="C2" s="196" t="s">
        <v>320</v>
      </c>
      <c r="D2" s="196"/>
      <c r="E2" s="196"/>
      <c r="F2" s="196"/>
      <c r="G2" s="196"/>
      <c r="H2" s="196"/>
      <c r="I2" s="211"/>
      <c r="J2" s="227"/>
      <c r="K2" s="216"/>
    </row>
    <row r="3" spans="1:11" ht="12.75">
      <c r="A3" s="7"/>
      <c r="B3" s="83"/>
      <c r="C3" s="199" t="str">
        <f>YEAR</f>
        <v>OPERATING FUND ACTUAL 2001/2002</v>
      </c>
      <c r="D3" s="199"/>
      <c r="E3" s="199"/>
      <c r="F3" s="199"/>
      <c r="G3" s="199"/>
      <c r="H3" s="199"/>
      <c r="I3" s="212"/>
      <c r="J3" s="212"/>
      <c r="K3" s="217"/>
    </row>
    <row r="4" spans="1:11" ht="12.75">
      <c r="A4" s="8"/>
      <c r="C4" s="139"/>
      <c r="D4" s="139"/>
      <c r="E4" s="139"/>
      <c r="F4" s="139"/>
      <c r="G4" s="139"/>
      <c r="H4" s="139"/>
      <c r="I4" s="139"/>
      <c r="J4" s="139"/>
      <c r="K4" s="139"/>
    </row>
    <row r="5" ht="12.75">
      <c r="A5" s="8"/>
    </row>
    <row r="6" spans="1:11" ht="18.75">
      <c r="A6" s="8"/>
      <c r="C6" s="389" t="s">
        <v>407</v>
      </c>
      <c r="D6" s="335"/>
      <c r="E6" s="336"/>
      <c r="F6" s="336"/>
      <c r="G6" s="336"/>
      <c r="H6" s="336"/>
      <c r="I6" s="336"/>
      <c r="J6" s="336"/>
      <c r="K6" s="337"/>
    </row>
    <row r="7" spans="3:11" ht="12.75">
      <c r="C7" s="65" t="s">
        <v>254</v>
      </c>
      <c r="D7" s="66"/>
      <c r="E7" s="67"/>
      <c r="F7" s="65" t="s">
        <v>234</v>
      </c>
      <c r="G7" s="66"/>
      <c r="H7" s="67"/>
      <c r="I7" s="65" t="s">
        <v>241</v>
      </c>
      <c r="J7" s="66"/>
      <c r="K7" s="67"/>
    </row>
    <row r="8" spans="1:11" ht="12.75">
      <c r="A8" s="91"/>
      <c r="B8" s="43"/>
      <c r="C8" s="70"/>
      <c r="D8" s="225"/>
      <c r="E8" s="226" t="s">
        <v>76</v>
      </c>
      <c r="F8" s="70"/>
      <c r="G8" s="71"/>
      <c r="H8" s="226" t="s">
        <v>76</v>
      </c>
      <c r="I8" s="70"/>
      <c r="J8" s="71"/>
      <c r="K8" s="226" t="s">
        <v>76</v>
      </c>
    </row>
    <row r="9" spans="1:11" ht="12.75">
      <c r="A9" s="49" t="s">
        <v>101</v>
      </c>
      <c r="B9" s="50" t="s">
        <v>102</v>
      </c>
      <c r="C9" s="72" t="s">
        <v>103</v>
      </c>
      <c r="D9" s="73" t="s">
        <v>104</v>
      </c>
      <c r="E9" s="73" t="s">
        <v>105</v>
      </c>
      <c r="F9" s="73" t="s">
        <v>103</v>
      </c>
      <c r="G9" s="73" t="s">
        <v>104</v>
      </c>
      <c r="H9" s="73" t="s">
        <v>105</v>
      </c>
      <c r="I9" s="73" t="s">
        <v>103</v>
      </c>
      <c r="J9" s="73" t="s">
        <v>104</v>
      </c>
      <c r="K9" s="73" t="s">
        <v>105</v>
      </c>
    </row>
    <row r="10" spans="1:2" ht="4.5" customHeight="1">
      <c r="A10" s="74"/>
      <c r="B10" s="74"/>
    </row>
    <row r="11" spans="1:11" ht="12.75">
      <c r="A11" s="11">
        <v>1</v>
      </c>
      <c r="B11" s="12" t="s">
        <v>116</v>
      </c>
      <c r="C11" s="405">
        <v>1426764</v>
      </c>
      <c r="D11" s="351">
        <f>C11/'- 3 -'!E11</f>
        <v>0.005919357593711204</v>
      </c>
      <c r="E11" s="405">
        <f>C11/'- 7 -'!H11</f>
        <v>46.3335855527014</v>
      </c>
      <c r="F11" s="405">
        <v>601045</v>
      </c>
      <c r="G11" s="351">
        <f>F11/'- 3 -'!E11</f>
        <v>0.0024936151212899614</v>
      </c>
      <c r="H11" s="405">
        <f>F11/'- 7 -'!H11</f>
        <v>19.518694001617234</v>
      </c>
      <c r="I11" s="405">
        <v>4937232</v>
      </c>
      <c r="J11" s="351">
        <f>I11/'- 3 -'!E11</f>
        <v>0.020483585043576905</v>
      </c>
      <c r="K11" s="405">
        <f>I11/'- 7 -'!H11</f>
        <v>160.33461824487796</v>
      </c>
    </row>
    <row r="12" spans="1:11" ht="12.75">
      <c r="A12" s="13">
        <v>2</v>
      </c>
      <c r="B12" s="14" t="s">
        <v>117</v>
      </c>
      <c r="C12" s="406">
        <v>315398</v>
      </c>
      <c r="D12" s="352">
        <f>C12/'- 3 -'!E12</f>
        <v>0.005248621662273983</v>
      </c>
      <c r="E12" s="406">
        <f>C12/'- 7 -'!H12</f>
        <v>34.500381213034096</v>
      </c>
      <c r="F12" s="406">
        <v>69050</v>
      </c>
      <c r="G12" s="352">
        <f>F12/'- 3 -'!E12</f>
        <v>0.0011490793403256157</v>
      </c>
      <c r="H12" s="406">
        <f>F12/'- 7 -'!H12</f>
        <v>7.553159255163332</v>
      </c>
      <c r="I12" s="406">
        <v>1289726</v>
      </c>
      <c r="J12" s="352">
        <f>I12/'- 3 -'!E12</f>
        <v>0.02146267199537719</v>
      </c>
      <c r="K12" s="406">
        <f>I12/'- 7 -'!H12</f>
        <v>141.07901337472532</v>
      </c>
    </row>
    <row r="13" spans="1:11" ht="12.75">
      <c r="A13" s="11">
        <v>3</v>
      </c>
      <c r="B13" s="12" t="s">
        <v>118</v>
      </c>
      <c r="C13" s="405">
        <v>279273</v>
      </c>
      <c r="D13" s="351">
        <f>C13/'- 3 -'!E13</f>
        <v>0.006652461624948786</v>
      </c>
      <c r="E13" s="405">
        <f>C13/'- 7 -'!H13</f>
        <v>47.71042965746989</v>
      </c>
      <c r="F13" s="405">
        <v>567339</v>
      </c>
      <c r="G13" s="351">
        <f>F13/'- 3 -'!E13</f>
        <v>0.013514378138369334</v>
      </c>
      <c r="H13" s="405">
        <f>F13/'- 7 -'!H13</f>
        <v>96.92303749893226</v>
      </c>
      <c r="I13" s="405">
        <v>388298</v>
      </c>
      <c r="J13" s="351">
        <f>I13/'- 3 -'!E13</f>
        <v>0.009249506912749759</v>
      </c>
      <c r="K13" s="405">
        <f>I13/'- 7 -'!H13</f>
        <v>66.33603826770309</v>
      </c>
    </row>
    <row r="14" spans="1:11" ht="12.75">
      <c r="A14" s="13">
        <v>4</v>
      </c>
      <c r="B14" s="14" t="s">
        <v>119</v>
      </c>
      <c r="C14" s="406">
        <v>194383</v>
      </c>
      <c r="D14" s="352">
        <f>C14/'- 3 -'!E14</f>
        <v>0.004676530502231798</v>
      </c>
      <c r="E14" s="406">
        <f>C14/'- 7 -'!H14</f>
        <v>32.88051016610846</v>
      </c>
      <c r="F14" s="406">
        <v>449980</v>
      </c>
      <c r="G14" s="352">
        <f>F14/'- 3 -'!E14</f>
        <v>0.010825767661751615</v>
      </c>
      <c r="H14" s="406">
        <f>F14/'- 7 -'!H14</f>
        <v>76.11556547921107</v>
      </c>
      <c r="I14" s="406">
        <v>365349</v>
      </c>
      <c r="J14" s="352">
        <f>I14/'- 3 -'!E14</f>
        <v>0.008789687073766149</v>
      </c>
      <c r="K14" s="406">
        <f>I14/'- 7 -'!H14</f>
        <v>61.79995940322744</v>
      </c>
    </row>
    <row r="15" spans="1:11" ht="12.75">
      <c r="A15" s="11">
        <v>5</v>
      </c>
      <c r="B15" s="12" t="s">
        <v>120</v>
      </c>
      <c r="C15" s="405">
        <v>376819</v>
      </c>
      <c r="D15" s="351">
        <f>C15/'- 3 -'!E15</f>
        <v>0.007497740245689037</v>
      </c>
      <c r="E15" s="405">
        <f>C15/'- 7 -'!H15</f>
        <v>52.236577623133755</v>
      </c>
      <c r="F15" s="405">
        <v>524663</v>
      </c>
      <c r="G15" s="351">
        <f>F15/'- 3 -'!E15</f>
        <v>0.010439460033925962</v>
      </c>
      <c r="H15" s="405">
        <f>F15/'- 7 -'!H15</f>
        <v>72.73146928760552</v>
      </c>
      <c r="I15" s="405">
        <v>650065</v>
      </c>
      <c r="J15" s="351">
        <f>I15/'- 3 -'!E15</f>
        <v>0.012934641068560352</v>
      </c>
      <c r="K15" s="405">
        <f>I15/'- 7 -'!H15</f>
        <v>90.11533609659398</v>
      </c>
    </row>
    <row r="16" spans="1:11" ht="12.75">
      <c r="A16" s="13">
        <v>6</v>
      </c>
      <c r="B16" s="14" t="s">
        <v>121</v>
      </c>
      <c r="C16" s="406">
        <v>198576</v>
      </c>
      <c r="D16" s="352">
        <f>C16/'- 3 -'!E16</f>
        <v>0.0034286781640721336</v>
      </c>
      <c r="E16" s="406">
        <f>C16/'- 7 -'!H16</f>
        <v>22.60655737704918</v>
      </c>
      <c r="F16" s="406">
        <v>307745</v>
      </c>
      <c r="G16" s="352">
        <f>F16/'- 3 -'!E16</f>
        <v>0.005313625823877904</v>
      </c>
      <c r="H16" s="406">
        <f>F16/'- 7 -'!H16</f>
        <v>35.03472222222222</v>
      </c>
      <c r="I16" s="406">
        <v>766293</v>
      </c>
      <c r="J16" s="352">
        <f>I16/'- 3 -'!E16</f>
        <v>0.013231065568756181</v>
      </c>
      <c r="K16" s="406">
        <f>I16/'- 7 -'!H16</f>
        <v>87.23736338797814</v>
      </c>
    </row>
    <row r="17" spans="1:11" ht="12.75">
      <c r="A17" s="11">
        <v>9</v>
      </c>
      <c r="B17" s="12" t="s">
        <v>122</v>
      </c>
      <c r="C17" s="405">
        <v>262265</v>
      </c>
      <c r="D17" s="351">
        <f>C17/'- 3 -'!E17</f>
        <v>0.0032171195878907405</v>
      </c>
      <c r="E17" s="405">
        <f>C17/'- 7 -'!H17</f>
        <v>20.919779527307824</v>
      </c>
      <c r="F17" s="405">
        <v>222506</v>
      </c>
      <c r="G17" s="351">
        <f>F17/'- 3 -'!E17</f>
        <v>0.0027294088461030526</v>
      </c>
      <c r="H17" s="405">
        <f>F17/'- 7 -'!H17</f>
        <v>17.748370783379997</v>
      </c>
      <c r="I17" s="405">
        <v>623280</v>
      </c>
      <c r="J17" s="351">
        <f>I17/'- 3 -'!E17</f>
        <v>0.007645573358017809</v>
      </c>
      <c r="K17" s="405">
        <f>I17/'- 7 -'!H17</f>
        <v>49.71643255402139</v>
      </c>
    </row>
    <row r="18" spans="1:11" ht="12.75">
      <c r="A18" s="13">
        <v>10</v>
      </c>
      <c r="B18" s="14" t="s">
        <v>123</v>
      </c>
      <c r="C18" s="406">
        <v>131890.48</v>
      </c>
      <c r="D18" s="352">
        <f>C18/'- 3 -'!E18</f>
        <v>0.0022010723946153756</v>
      </c>
      <c r="E18" s="406">
        <f>C18/'- 7 -'!H18</f>
        <v>15.396075410027434</v>
      </c>
      <c r="F18" s="406">
        <v>439642.02</v>
      </c>
      <c r="G18" s="352">
        <f>F18/'- 3 -'!E18</f>
        <v>0.007337026248861485</v>
      </c>
      <c r="H18" s="406">
        <f>F18/'- 7 -'!H18</f>
        <v>51.32107862020662</v>
      </c>
      <c r="I18" s="406">
        <v>274364.34</v>
      </c>
      <c r="J18" s="352">
        <f>I18/'- 3 -'!E18</f>
        <v>0.004578766980307199</v>
      </c>
      <c r="K18" s="406">
        <f>I18/'- 7 -'!H18</f>
        <v>32.02758886359657</v>
      </c>
    </row>
    <row r="19" spans="1:11" ht="12.75">
      <c r="A19" s="11">
        <v>11</v>
      </c>
      <c r="B19" s="12" t="s">
        <v>124</v>
      </c>
      <c r="C19" s="405">
        <v>89230</v>
      </c>
      <c r="D19" s="351">
        <f>C19/'- 3 -'!E19</f>
        <v>0.0027601411368459294</v>
      </c>
      <c r="E19" s="405">
        <f>C19/'- 7 -'!H19</f>
        <v>18.922701728342698</v>
      </c>
      <c r="F19" s="405">
        <v>150723</v>
      </c>
      <c r="G19" s="351">
        <f>F19/'- 3 -'!E19</f>
        <v>0.004662296902037756</v>
      </c>
      <c r="H19" s="405">
        <f>F19/'- 7 -'!H19</f>
        <v>31.963312480118756</v>
      </c>
      <c r="I19" s="405">
        <v>431510</v>
      </c>
      <c r="J19" s="351">
        <f>I19/'- 3 -'!E19</f>
        <v>0.013347848279282606</v>
      </c>
      <c r="K19" s="405">
        <f>I19/'- 7 -'!H19</f>
        <v>91.50885378008695</v>
      </c>
    </row>
    <row r="20" spans="1:11" ht="12.75">
      <c r="A20" s="13">
        <v>12</v>
      </c>
      <c r="B20" s="14" t="s">
        <v>125</v>
      </c>
      <c r="C20" s="406">
        <v>203119</v>
      </c>
      <c r="D20" s="352">
        <f>C20/'- 3 -'!E20</f>
        <v>0.003921339004090051</v>
      </c>
      <c r="E20" s="406">
        <f>C20/'- 7 -'!H20</f>
        <v>26.31415986526752</v>
      </c>
      <c r="F20" s="406">
        <v>87819</v>
      </c>
      <c r="G20" s="352">
        <f>F20/'- 3 -'!E20</f>
        <v>0.0016954005779872103</v>
      </c>
      <c r="H20" s="406">
        <f>F20/'- 7 -'!H20</f>
        <v>11.376991838321025</v>
      </c>
      <c r="I20" s="406">
        <v>413430</v>
      </c>
      <c r="J20" s="352">
        <f>I20/'- 3 -'!E20</f>
        <v>0.007981524054672137</v>
      </c>
      <c r="K20" s="406">
        <f>I20/'- 7 -'!H20</f>
        <v>53.560046638165566</v>
      </c>
    </row>
    <row r="21" spans="1:11" ht="12.75">
      <c r="A21" s="11">
        <v>13</v>
      </c>
      <c r="B21" s="12" t="s">
        <v>126</v>
      </c>
      <c r="C21" s="405">
        <v>39666</v>
      </c>
      <c r="D21" s="351">
        <f>C21/'- 3 -'!E21</f>
        <v>0.0020065404538253642</v>
      </c>
      <c r="E21" s="405">
        <f>C21/'- 7 -'!H21</f>
        <v>14.83284720664124</v>
      </c>
      <c r="F21" s="405">
        <v>38452</v>
      </c>
      <c r="G21" s="351">
        <f>F21/'- 3 -'!E21</f>
        <v>0.0019451291668051455</v>
      </c>
      <c r="H21" s="405">
        <f>F21/'- 7 -'!H21</f>
        <v>14.378879664946528</v>
      </c>
      <c r="I21" s="405">
        <v>437263</v>
      </c>
      <c r="J21" s="351">
        <f>I21/'- 3 -'!E21</f>
        <v>0.022119343983790656</v>
      </c>
      <c r="K21" s="405">
        <f>I21/'- 7 -'!H21</f>
        <v>163.51170443497122</v>
      </c>
    </row>
    <row r="22" spans="1:11" ht="12.75">
      <c r="A22" s="13">
        <v>14</v>
      </c>
      <c r="B22" s="14" t="s">
        <v>127</v>
      </c>
      <c r="C22" s="406">
        <v>76253</v>
      </c>
      <c r="D22" s="352">
        <f>C22/'- 3 -'!E22</f>
        <v>0.0033160276968281256</v>
      </c>
      <c r="E22" s="406">
        <f>C22/'- 7 -'!H22</f>
        <v>21.690513440477883</v>
      </c>
      <c r="F22" s="406">
        <v>61297</v>
      </c>
      <c r="G22" s="352">
        <f>F22/'- 3 -'!E22</f>
        <v>0.0026656334797643846</v>
      </c>
      <c r="H22" s="406">
        <f>F22/'- 7 -'!H22</f>
        <v>17.436211065282322</v>
      </c>
      <c r="I22" s="406">
        <v>257077</v>
      </c>
      <c r="J22" s="352">
        <f>I22/'- 3 -'!E22</f>
        <v>0.011179552964702818</v>
      </c>
      <c r="K22" s="406">
        <f>I22/'- 7 -'!H22</f>
        <v>73.12672450576021</v>
      </c>
    </row>
    <row r="23" spans="1:11" ht="12.75">
      <c r="A23" s="11">
        <v>15</v>
      </c>
      <c r="B23" s="12" t="s">
        <v>128</v>
      </c>
      <c r="C23" s="405">
        <v>192302</v>
      </c>
      <c r="D23" s="351">
        <f>C23/'- 3 -'!E23</f>
        <v>0.006011807843111142</v>
      </c>
      <c r="E23" s="405">
        <f>C23/'- 7 -'!H23</f>
        <v>32.082415749082415</v>
      </c>
      <c r="F23" s="405">
        <v>91537</v>
      </c>
      <c r="G23" s="351">
        <f>F23/'- 3 -'!E23</f>
        <v>0.0028616595487039372</v>
      </c>
      <c r="H23" s="405">
        <f>F23/'- 7 -'!H23</f>
        <v>15.271438104771438</v>
      </c>
      <c r="I23" s="405">
        <v>572883</v>
      </c>
      <c r="J23" s="351">
        <f>I23/'- 3 -'!E23</f>
        <v>0.01790965519123587</v>
      </c>
      <c r="K23" s="405">
        <f>I23/'- 7 -'!H23</f>
        <v>95.57607607607608</v>
      </c>
    </row>
    <row r="24" spans="1:11" ht="12.75">
      <c r="A24" s="13">
        <v>16</v>
      </c>
      <c r="B24" s="14" t="s">
        <v>129</v>
      </c>
      <c r="C24" s="406">
        <v>0</v>
      </c>
      <c r="D24" s="352">
        <f>C24/'- 3 -'!E24</f>
        <v>0</v>
      </c>
      <c r="E24" s="406">
        <f>C24/'- 7 -'!H24</f>
        <v>0</v>
      </c>
      <c r="F24" s="406">
        <v>5061</v>
      </c>
      <c r="G24" s="352">
        <f>F24/'- 3 -'!E24</f>
        <v>0.0008189432496114753</v>
      </c>
      <c r="H24" s="406">
        <f>F24/'- 7 -'!H24</f>
        <v>6.019267364414843</v>
      </c>
      <c r="I24" s="406">
        <v>136142</v>
      </c>
      <c r="J24" s="352">
        <f>I24/'- 3 -'!E24</f>
        <v>0.02202975141051284</v>
      </c>
      <c r="K24" s="406">
        <f>I24/'- 7 -'!H24</f>
        <v>161.9196003805899</v>
      </c>
    </row>
    <row r="25" spans="1:11" ht="12.75">
      <c r="A25" s="11">
        <v>17</v>
      </c>
      <c r="B25" s="12" t="s">
        <v>130</v>
      </c>
      <c r="C25" s="405">
        <v>0</v>
      </c>
      <c r="D25" s="351">
        <f>C25/'- 3 -'!E25</f>
        <v>0</v>
      </c>
      <c r="E25" s="405">
        <f>C25/'- 7 -'!H25</f>
        <v>0</v>
      </c>
      <c r="F25" s="405">
        <v>18422</v>
      </c>
      <c r="G25" s="351">
        <f>F25/'- 3 -'!E25</f>
        <v>0.004425273969066946</v>
      </c>
      <c r="H25" s="405">
        <f>F25/'- 7 -'!H25</f>
        <v>37.75</v>
      </c>
      <c r="I25" s="405">
        <v>66770</v>
      </c>
      <c r="J25" s="351">
        <f>I25/'- 3 -'!E25</f>
        <v>0.01603927602402562</v>
      </c>
      <c r="K25" s="405">
        <f>I25/'- 7 -'!H25</f>
        <v>136.8237704918033</v>
      </c>
    </row>
    <row r="26" spans="1:11" ht="12.75">
      <c r="A26" s="13">
        <v>18</v>
      </c>
      <c r="B26" s="14" t="s">
        <v>131</v>
      </c>
      <c r="C26" s="406">
        <v>30521</v>
      </c>
      <c r="D26" s="352">
        <f>C26/'- 3 -'!E26</f>
        <v>0.003177988511658475</v>
      </c>
      <c r="E26" s="406">
        <f>C26/'- 7 -'!H26</f>
        <v>20.75552533151989</v>
      </c>
      <c r="F26" s="406">
        <v>7584</v>
      </c>
      <c r="G26" s="352">
        <f>F26/'- 3 -'!E26</f>
        <v>0.0007896813627475467</v>
      </c>
      <c r="H26" s="406">
        <f>F26/'- 7 -'!H26</f>
        <v>5.157429445766746</v>
      </c>
      <c r="I26" s="406">
        <v>94529</v>
      </c>
      <c r="J26" s="352">
        <f>I26/'- 3 -'!E26</f>
        <v>0.009842799253581598</v>
      </c>
      <c r="K26" s="406">
        <f>I26/'- 7 -'!H26</f>
        <v>64.28357701462087</v>
      </c>
    </row>
    <row r="27" spans="1:11" ht="12.75">
      <c r="A27" s="11">
        <v>19</v>
      </c>
      <c r="B27" s="12" t="s">
        <v>132</v>
      </c>
      <c r="C27" s="405">
        <v>0</v>
      </c>
      <c r="D27" s="351">
        <f>C27/'- 3 -'!E27</f>
        <v>0</v>
      </c>
      <c r="E27" s="405">
        <f>C27/'- 7 -'!H27</f>
        <v>0</v>
      </c>
      <c r="F27" s="405">
        <v>101951.5</v>
      </c>
      <c r="G27" s="351">
        <f>F27/'- 3 -'!E27</f>
        <v>0.006935740380848222</v>
      </c>
      <c r="H27" s="405">
        <f>F27/'- 7 -'!H27</f>
        <v>54.856873822975516</v>
      </c>
      <c r="I27" s="405">
        <v>140149</v>
      </c>
      <c r="J27" s="351">
        <f>I27/'- 3 -'!E27</f>
        <v>0.009534308751077693</v>
      </c>
      <c r="K27" s="405">
        <f>I27/'- 7 -'!H27</f>
        <v>75.40973903685769</v>
      </c>
    </row>
    <row r="28" spans="1:11" ht="12.75">
      <c r="A28" s="13">
        <v>20</v>
      </c>
      <c r="B28" s="14" t="s">
        <v>133</v>
      </c>
      <c r="C28" s="406">
        <v>34704</v>
      </c>
      <c r="D28" s="352">
        <f>C28/'- 3 -'!E28</f>
        <v>0.004591022133452113</v>
      </c>
      <c r="E28" s="406">
        <f>C28/'- 7 -'!H28</f>
        <v>36.35830277632268</v>
      </c>
      <c r="F28" s="406">
        <v>65992</v>
      </c>
      <c r="G28" s="352">
        <f>F28/'- 3 -'!E28</f>
        <v>0.008730138676543679</v>
      </c>
      <c r="H28" s="406">
        <f>F28/'- 7 -'!H28</f>
        <v>69.13776846516501</v>
      </c>
      <c r="I28" s="406">
        <v>21650</v>
      </c>
      <c r="J28" s="352">
        <f>I28/'- 3 -'!E28</f>
        <v>0.002864097198860023</v>
      </c>
      <c r="K28" s="406">
        <f>I28/'- 7 -'!H28</f>
        <v>22.682032477737035</v>
      </c>
    </row>
    <row r="29" spans="1:11" ht="12.75">
      <c r="A29" s="11">
        <v>21</v>
      </c>
      <c r="B29" s="12" t="s">
        <v>134</v>
      </c>
      <c r="C29" s="405">
        <v>82677</v>
      </c>
      <c r="D29" s="351">
        <f>C29/'- 3 -'!E29</f>
        <v>0.0037065752763354824</v>
      </c>
      <c r="E29" s="405">
        <f>C29/'- 7 -'!H29</f>
        <v>24.093545096896403</v>
      </c>
      <c r="F29" s="405">
        <v>37266</v>
      </c>
      <c r="G29" s="351">
        <f>F29/'- 3 -'!E29</f>
        <v>0.0016707093175601206</v>
      </c>
      <c r="H29" s="405">
        <f>F29/'- 7 -'!H29</f>
        <v>10.85997377240274</v>
      </c>
      <c r="I29" s="405">
        <v>234569</v>
      </c>
      <c r="J29" s="351">
        <f>I29/'- 3 -'!E29</f>
        <v>0.010516197442997905</v>
      </c>
      <c r="K29" s="405">
        <f>I29/'- 7 -'!H29</f>
        <v>68.35756957598717</v>
      </c>
    </row>
    <row r="30" spans="1:11" ht="12.75">
      <c r="A30" s="13">
        <v>22</v>
      </c>
      <c r="B30" s="14" t="s">
        <v>135</v>
      </c>
      <c r="C30" s="406">
        <v>32287</v>
      </c>
      <c r="D30" s="352">
        <f>C30/'- 3 -'!E30</f>
        <v>0.002742765125537975</v>
      </c>
      <c r="E30" s="406">
        <f>C30/'- 7 -'!H30</f>
        <v>18.287737184933448</v>
      </c>
      <c r="F30" s="406">
        <v>23702</v>
      </c>
      <c r="G30" s="352">
        <f>F30/'- 3 -'!E30</f>
        <v>0.0020134735034379493</v>
      </c>
      <c r="H30" s="406">
        <f>F30/'- 7 -'!H30</f>
        <v>13.425092041914471</v>
      </c>
      <c r="I30" s="406">
        <v>132509</v>
      </c>
      <c r="J30" s="352">
        <f>I30/'- 3 -'!E30</f>
        <v>0.011256575836092282</v>
      </c>
      <c r="K30" s="406">
        <f>I30/'- 7 -'!H30</f>
        <v>75.05465873690173</v>
      </c>
    </row>
    <row r="31" spans="1:11" ht="12.75">
      <c r="A31" s="11">
        <v>23</v>
      </c>
      <c r="B31" s="12" t="s">
        <v>136</v>
      </c>
      <c r="C31" s="405">
        <v>0</v>
      </c>
      <c r="D31" s="351">
        <f>C31/'- 3 -'!E31</f>
        <v>0</v>
      </c>
      <c r="E31" s="405">
        <f>C31/'- 7 -'!H31</f>
        <v>0</v>
      </c>
      <c r="F31" s="405">
        <v>53998</v>
      </c>
      <c r="G31" s="351">
        <f>F31/'- 3 -'!E31</f>
        <v>0.005338769324589028</v>
      </c>
      <c r="H31" s="405">
        <f>F31/'- 7 -'!H31</f>
        <v>37.55076495132128</v>
      </c>
      <c r="I31" s="405">
        <v>120505</v>
      </c>
      <c r="J31" s="351">
        <f>I31/'- 3 -'!E31</f>
        <v>0.011914300482603075</v>
      </c>
      <c r="K31" s="405">
        <f>I31/'- 7 -'!H31</f>
        <v>83.80041724617524</v>
      </c>
    </row>
    <row r="32" spans="1:11" ht="12.75">
      <c r="A32" s="13">
        <v>24</v>
      </c>
      <c r="B32" s="14" t="s">
        <v>137</v>
      </c>
      <c r="C32" s="406">
        <v>138048</v>
      </c>
      <c r="D32" s="352">
        <f>C32/'- 3 -'!E32</f>
        <v>0.006073071925702004</v>
      </c>
      <c r="E32" s="406">
        <f>C32/'- 7 -'!H32</f>
        <v>38.63643996641478</v>
      </c>
      <c r="F32" s="406">
        <v>38832</v>
      </c>
      <c r="G32" s="352">
        <f>F32/'- 3 -'!E32</f>
        <v>0.0017083154338987906</v>
      </c>
      <c r="H32" s="406">
        <f>F32/'- 7 -'!H32</f>
        <v>10.868178001679262</v>
      </c>
      <c r="I32" s="406">
        <v>265622</v>
      </c>
      <c r="J32" s="352">
        <f>I32/'- 3 -'!E32</f>
        <v>0.011685366764087983</v>
      </c>
      <c r="K32" s="406">
        <f>I32/'- 7 -'!H32</f>
        <v>74.34144976210467</v>
      </c>
    </row>
    <row r="33" spans="1:11" ht="12.75">
      <c r="A33" s="11">
        <v>25</v>
      </c>
      <c r="B33" s="12" t="s">
        <v>138</v>
      </c>
      <c r="C33" s="405">
        <v>45686</v>
      </c>
      <c r="D33" s="351">
        <f>C33/'- 3 -'!E33</f>
        <v>0.0043476332777135215</v>
      </c>
      <c r="E33" s="405">
        <f>C33/'- 7 -'!H33</f>
        <v>31.311082173942843</v>
      </c>
      <c r="F33" s="405">
        <v>32112</v>
      </c>
      <c r="G33" s="351">
        <f>F33/'- 3 -'!E33</f>
        <v>0.0030558858252842575</v>
      </c>
      <c r="H33" s="405">
        <f>F33/'- 7 -'!H33</f>
        <v>22.008087177026937</v>
      </c>
      <c r="I33" s="405">
        <v>121196</v>
      </c>
      <c r="J33" s="351">
        <f>I33/'- 3 -'!E33</f>
        <v>0.011533418612392592</v>
      </c>
      <c r="K33" s="405">
        <f>I33/'- 7 -'!H33</f>
        <v>83.06216160646974</v>
      </c>
    </row>
    <row r="34" spans="1:11" ht="12.75">
      <c r="A34" s="13">
        <v>26</v>
      </c>
      <c r="B34" s="14" t="s">
        <v>139</v>
      </c>
      <c r="C34" s="406">
        <v>99332</v>
      </c>
      <c r="D34" s="352">
        <f>C34/'- 3 -'!E34</f>
        <v>0.006124282640095308</v>
      </c>
      <c r="E34" s="406">
        <f>C34/'- 7 -'!H34</f>
        <v>34.93791987619148</v>
      </c>
      <c r="F34" s="406">
        <v>11017</v>
      </c>
      <c r="G34" s="352">
        <f>F34/'- 3 -'!E34</f>
        <v>0.0006792496058262192</v>
      </c>
      <c r="H34" s="406">
        <f>F34/'- 7 -'!H34</f>
        <v>3.874995603390665</v>
      </c>
      <c r="I34" s="406">
        <v>291263</v>
      </c>
      <c r="J34" s="352">
        <f>I34/'- 3 -'!E34</f>
        <v>0.01795772696212781</v>
      </c>
      <c r="K34" s="406">
        <f>I34/'- 7 -'!H34</f>
        <v>102.44556997643417</v>
      </c>
    </row>
    <row r="35" spans="1:11" ht="12.75">
      <c r="A35" s="11">
        <v>28</v>
      </c>
      <c r="B35" s="12" t="s">
        <v>140</v>
      </c>
      <c r="C35" s="405">
        <v>25439</v>
      </c>
      <c r="D35" s="351">
        <f>C35/'- 3 -'!E35</f>
        <v>0.003993827535540418</v>
      </c>
      <c r="E35" s="405">
        <f>C35/'- 7 -'!H35</f>
        <v>28.864657559115873</v>
      </c>
      <c r="F35" s="405">
        <v>4504</v>
      </c>
      <c r="G35" s="351">
        <f>F35/'- 3 -'!E35</f>
        <v>0.0007071110979234264</v>
      </c>
      <c r="H35" s="405">
        <f>F35/'- 7 -'!H35</f>
        <v>5.110516044115645</v>
      </c>
      <c r="I35" s="405">
        <v>75905</v>
      </c>
      <c r="J35" s="351">
        <f>I35/'- 3 -'!E35</f>
        <v>0.01191680015272595</v>
      </c>
      <c r="K35" s="405">
        <f>I35/'- 7 -'!H35</f>
        <v>86.12649208006174</v>
      </c>
    </row>
    <row r="36" spans="1:11" ht="12.75">
      <c r="A36" s="13">
        <v>30</v>
      </c>
      <c r="B36" s="14" t="s">
        <v>141</v>
      </c>
      <c r="C36" s="406">
        <v>38493</v>
      </c>
      <c r="D36" s="352">
        <f>C36/'- 3 -'!E36</f>
        <v>0.004166383445387938</v>
      </c>
      <c r="E36" s="406">
        <f>C36/'- 7 -'!H36</f>
        <v>29.57132979949297</v>
      </c>
      <c r="F36" s="406">
        <v>15169</v>
      </c>
      <c r="G36" s="352">
        <f>F36/'- 3 -'!E36</f>
        <v>0.0016418535963185418</v>
      </c>
      <c r="H36" s="406">
        <f>F36/'- 7 -'!H36</f>
        <v>11.65322270876546</v>
      </c>
      <c r="I36" s="406">
        <v>71713</v>
      </c>
      <c r="J36" s="352">
        <f>I36/'- 3 -'!E36</f>
        <v>0.007762030915208095</v>
      </c>
      <c r="K36" s="406">
        <f>I36/'- 7 -'!H36</f>
        <v>55.09180302681109</v>
      </c>
    </row>
    <row r="37" spans="1:11" ht="12.75">
      <c r="A37" s="11">
        <v>31</v>
      </c>
      <c r="B37" s="12" t="s">
        <v>142</v>
      </c>
      <c r="C37" s="405">
        <v>65565</v>
      </c>
      <c r="D37" s="351">
        <f>C37/'- 3 -'!E37</f>
        <v>0.006093893076132908</v>
      </c>
      <c r="E37" s="405">
        <f>C37/'- 7 -'!H37</f>
        <v>39.71229557843731</v>
      </c>
      <c r="F37" s="405">
        <v>22430</v>
      </c>
      <c r="G37" s="351">
        <f>F37/'- 3 -'!E37</f>
        <v>0.0020847406649532694</v>
      </c>
      <c r="H37" s="405">
        <f>F37/'- 7 -'!H37</f>
        <v>13.585705632949727</v>
      </c>
      <c r="I37" s="405">
        <v>287914</v>
      </c>
      <c r="J37" s="351">
        <f>I37/'- 3 -'!E37</f>
        <v>0.02675996539497796</v>
      </c>
      <c r="K37" s="405">
        <f>I37/'- 7 -'!H37</f>
        <v>174.38764385221077</v>
      </c>
    </row>
    <row r="38" spans="1:11" ht="12.75">
      <c r="A38" s="13">
        <v>32</v>
      </c>
      <c r="B38" s="14" t="s">
        <v>143</v>
      </c>
      <c r="C38" s="406">
        <v>35294</v>
      </c>
      <c r="D38" s="352">
        <f>C38/'- 3 -'!E38</f>
        <v>0.005563918546603457</v>
      </c>
      <c r="E38" s="406">
        <f>C38/'- 7 -'!H38</f>
        <v>42.57418576598311</v>
      </c>
      <c r="F38" s="406">
        <v>48197</v>
      </c>
      <c r="G38" s="352">
        <f>F38/'- 3 -'!E38</f>
        <v>0.007598010488769956</v>
      </c>
      <c r="H38" s="406">
        <f>F38/'- 7 -'!H38</f>
        <v>58.13872135102533</v>
      </c>
      <c r="I38" s="406">
        <v>74107</v>
      </c>
      <c r="J38" s="352">
        <f>I38/'- 3 -'!E38</f>
        <v>0.011682589441070503</v>
      </c>
      <c r="K38" s="406">
        <f>I38/'- 7 -'!H38</f>
        <v>89.39324487334137</v>
      </c>
    </row>
    <row r="39" spans="1:11" ht="12.75">
      <c r="A39" s="11">
        <v>33</v>
      </c>
      <c r="B39" s="12" t="s">
        <v>144</v>
      </c>
      <c r="C39" s="405">
        <v>118131</v>
      </c>
      <c r="D39" s="351">
        <f>C39/'- 3 -'!E39</f>
        <v>0.009086283581486844</v>
      </c>
      <c r="E39" s="405">
        <f>C39/'- 7 -'!H39</f>
        <v>62.076195480819756</v>
      </c>
      <c r="F39" s="405">
        <v>30725</v>
      </c>
      <c r="G39" s="351">
        <f>F39/'- 3 -'!E39</f>
        <v>0.0023632752033012783</v>
      </c>
      <c r="H39" s="405">
        <f>F39/'- 7 -'!H39</f>
        <v>16.14555964266947</v>
      </c>
      <c r="I39" s="405">
        <v>190479</v>
      </c>
      <c r="J39" s="351">
        <f>I39/'- 3 -'!E39</f>
        <v>0.014651075588270925</v>
      </c>
      <c r="K39" s="405">
        <f>I39/'- 7 -'!H39</f>
        <v>100.09406200735681</v>
      </c>
    </row>
    <row r="40" spans="1:11" ht="12.75">
      <c r="A40" s="13">
        <v>34</v>
      </c>
      <c r="B40" s="14" t="s">
        <v>145</v>
      </c>
      <c r="C40" s="406">
        <v>34101.46</v>
      </c>
      <c r="D40" s="352">
        <f>C40/'- 3 -'!E40</f>
        <v>0.005891116732654283</v>
      </c>
      <c r="E40" s="406">
        <f>C40/'- 7 -'!H40</f>
        <v>46.5231377899045</v>
      </c>
      <c r="F40" s="406">
        <v>0</v>
      </c>
      <c r="G40" s="352">
        <f>F40/'- 3 -'!E40</f>
        <v>0</v>
      </c>
      <c r="H40" s="406">
        <f>F40/'- 7 -'!H40</f>
        <v>0</v>
      </c>
      <c r="I40" s="406">
        <v>24836.91</v>
      </c>
      <c r="J40" s="352">
        <f>I40/'- 3 -'!E40</f>
        <v>0.004290641400351436</v>
      </c>
      <c r="K40" s="406">
        <f>I40/'- 7 -'!H40</f>
        <v>33.883915416098226</v>
      </c>
    </row>
    <row r="41" spans="1:11" ht="12.75">
      <c r="A41" s="11">
        <v>35</v>
      </c>
      <c r="B41" s="12" t="s">
        <v>146</v>
      </c>
      <c r="C41" s="405">
        <v>183317</v>
      </c>
      <c r="D41" s="351">
        <f>C41/'- 3 -'!E41</f>
        <v>0.013170459690253638</v>
      </c>
      <c r="E41" s="405">
        <f>C41/'- 7 -'!H41</f>
        <v>95.28901133173926</v>
      </c>
      <c r="F41" s="405">
        <v>66796</v>
      </c>
      <c r="G41" s="351">
        <f>F41/'- 3 -'!E41</f>
        <v>0.004798976775040951</v>
      </c>
      <c r="H41" s="405">
        <f>F41/'- 7 -'!H41</f>
        <v>34.720864954777</v>
      </c>
      <c r="I41" s="405">
        <v>481221</v>
      </c>
      <c r="J41" s="351">
        <f>I41/'- 3 -'!E41</f>
        <v>0.034573453540062</v>
      </c>
      <c r="K41" s="405">
        <f>I41/'- 7 -'!H41</f>
        <v>250.1408670339952</v>
      </c>
    </row>
    <row r="42" spans="1:11" ht="12.75">
      <c r="A42" s="13">
        <v>36</v>
      </c>
      <c r="B42" s="14" t="s">
        <v>147</v>
      </c>
      <c r="C42" s="406">
        <v>58960</v>
      </c>
      <c r="D42" s="352">
        <f>C42/'- 3 -'!E42</f>
        <v>0.007357427388961352</v>
      </c>
      <c r="E42" s="406">
        <f>C42/'- 7 -'!H42</f>
        <v>58.463063956370846</v>
      </c>
      <c r="F42" s="406">
        <v>46167</v>
      </c>
      <c r="G42" s="352">
        <f>F42/'- 3 -'!E42</f>
        <v>0.005761030364080373</v>
      </c>
      <c r="H42" s="406">
        <f>F42/'- 7 -'!H42</f>
        <v>45.77788795240456</v>
      </c>
      <c r="I42" s="406">
        <v>282322</v>
      </c>
      <c r="J42" s="352">
        <f>I42/'- 3 -'!E42</f>
        <v>0.03523004774942922</v>
      </c>
      <c r="K42" s="406">
        <f>I42/'- 7 -'!H42</f>
        <v>279.942488844819</v>
      </c>
    </row>
    <row r="43" spans="1:11" ht="12.75">
      <c r="A43" s="11">
        <v>37</v>
      </c>
      <c r="B43" s="12" t="s">
        <v>148</v>
      </c>
      <c r="C43" s="405">
        <v>72940</v>
      </c>
      <c r="D43" s="351">
        <f>C43/'- 3 -'!E43</f>
        <v>0.010613453941903874</v>
      </c>
      <c r="E43" s="405">
        <f>C43/'- 7 -'!H43</f>
        <v>75.74247144340602</v>
      </c>
      <c r="F43" s="405">
        <v>29310</v>
      </c>
      <c r="G43" s="351">
        <f>F43/'- 3 -'!E43</f>
        <v>0.004264879833249281</v>
      </c>
      <c r="H43" s="405">
        <f>F43/'- 7 -'!H43</f>
        <v>30.43613707165109</v>
      </c>
      <c r="I43" s="405">
        <v>111566</v>
      </c>
      <c r="J43" s="351">
        <f>I43/'- 3 -'!E43</f>
        <v>0.0162338991291808</v>
      </c>
      <c r="K43" s="405">
        <f>I43/'- 7 -'!H43</f>
        <v>115.85254413291797</v>
      </c>
    </row>
    <row r="44" spans="1:11" ht="12.75">
      <c r="A44" s="13">
        <v>38</v>
      </c>
      <c r="B44" s="14" t="s">
        <v>149</v>
      </c>
      <c r="C44" s="406">
        <v>50034</v>
      </c>
      <c r="D44" s="352">
        <f>C44/'- 3 -'!E44</f>
        <v>0.005600598543401112</v>
      </c>
      <c r="E44" s="406">
        <f>C44/'- 7 -'!H44</f>
        <v>42.83732876712329</v>
      </c>
      <c r="F44" s="406">
        <v>21522</v>
      </c>
      <c r="G44" s="352">
        <f>F44/'- 3 -'!E44</f>
        <v>0.002409083460268592</v>
      </c>
      <c r="H44" s="406">
        <f>F44/'- 7 -'!H44</f>
        <v>18.426369863013697</v>
      </c>
      <c r="I44" s="406">
        <v>24815</v>
      </c>
      <c r="J44" s="352">
        <f>I44/'- 3 -'!E44</f>
        <v>0.002777688229094188</v>
      </c>
      <c r="K44" s="406">
        <f>I44/'- 7 -'!H44</f>
        <v>21.24571917808219</v>
      </c>
    </row>
    <row r="45" spans="1:11" ht="12.75">
      <c r="A45" s="11">
        <v>39</v>
      </c>
      <c r="B45" s="12" t="s">
        <v>150</v>
      </c>
      <c r="C45" s="405">
        <v>79742</v>
      </c>
      <c r="D45" s="351">
        <f>C45/'- 3 -'!E45</f>
        <v>0.005343881974876075</v>
      </c>
      <c r="E45" s="405">
        <f>C45/'- 7 -'!H45</f>
        <v>37.614150943396226</v>
      </c>
      <c r="F45" s="405">
        <v>34353</v>
      </c>
      <c r="G45" s="351">
        <f>F45/'- 3 -'!E45</f>
        <v>0.0023021541657209225</v>
      </c>
      <c r="H45" s="405">
        <f>F45/'- 7 -'!H45</f>
        <v>16.204245283018867</v>
      </c>
      <c r="I45" s="405">
        <v>27740</v>
      </c>
      <c r="J45" s="351">
        <f>I45/'- 3 -'!E45</f>
        <v>0.0018589863056239161</v>
      </c>
      <c r="K45" s="405">
        <f>I45/'- 7 -'!H45</f>
        <v>13.084905660377359</v>
      </c>
    </row>
    <row r="46" spans="1:11" ht="12.75">
      <c r="A46" s="13">
        <v>40</v>
      </c>
      <c r="B46" s="14" t="s">
        <v>151</v>
      </c>
      <c r="C46" s="406">
        <v>172281</v>
      </c>
      <c r="D46" s="352">
        <f>C46/'- 3 -'!E46</f>
        <v>0.003845629883754748</v>
      </c>
      <c r="E46" s="406">
        <f>C46/'- 7 -'!H46</f>
        <v>23.278070531009323</v>
      </c>
      <c r="F46" s="406">
        <v>84245</v>
      </c>
      <c r="G46" s="352">
        <f>F46/'- 3 -'!E46</f>
        <v>0.0018805038835212166</v>
      </c>
      <c r="H46" s="406">
        <f>F46/'- 7 -'!H46</f>
        <v>11.382921226861235</v>
      </c>
      <c r="I46" s="406">
        <v>593279</v>
      </c>
      <c r="J46" s="352">
        <f>I46/'- 3 -'!E46</f>
        <v>0.013243082242407073</v>
      </c>
      <c r="K46" s="406">
        <f>I46/'- 7 -'!H46</f>
        <v>80.16200513444129</v>
      </c>
    </row>
    <row r="47" spans="1:11" ht="12.75">
      <c r="A47" s="11">
        <v>41</v>
      </c>
      <c r="B47" s="12" t="s">
        <v>152</v>
      </c>
      <c r="C47" s="405">
        <v>68292</v>
      </c>
      <c r="D47" s="351">
        <f>C47/'- 3 -'!E47</f>
        <v>0.005564192516237653</v>
      </c>
      <c r="E47" s="405">
        <f>C47/'- 7 -'!H47</f>
        <v>41.246602645406774</v>
      </c>
      <c r="F47" s="405">
        <v>27045</v>
      </c>
      <c r="G47" s="351">
        <f>F47/'- 3 -'!E47</f>
        <v>0.002203531696269656</v>
      </c>
      <c r="H47" s="405">
        <f>F47/'- 7 -'!H47</f>
        <v>16.334480884218156</v>
      </c>
      <c r="I47" s="405">
        <v>201901</v>
      </c>
      <c r="J47" s="351">
        <f>I47/'- 3 -'!E47</f>
        <v>0.016450184988298755</v>
      </c>
      <c r="K47" s="405">
        <f>I47/'- 7 -'!H47</f>
        <v>121.94298484024884</v>
      </c>
    </row>
    <row r="48" spans="1:11" ht="12.75">
      <c r="A48" s="13">
        <v>42</v>
      </c>
      <c r="B48" s="14" t="s">
        <v>153</v>
      </c>
      <c r="C48" s="406">
        <v>88884</v>
      </c>
      <c r="D48" s="352">
        <f>C48/'- 3 -'!E48</f>
        <v>0.011499758189909804</v>
      </c>
      <c r="E48" s="406">
        <f>C48/'- 7 -'!H48</f>
        <v>84.09082308420057</v>
      </c>
      <c r="F48" s="406">
        <v>21156</v>
      </c>
      <c r="G48" s="352">
        <f>F48/'- 3 -'!E48</f>
        <v>0.0027371504912665026</v>
      </c>
      <c r="H48" s="406">
        <f>F48/'- 7 -'!H48</f>
        <v>20.015137180700094</v>
      </c>
      <c r="I48" s="406">
        <v>32516</v>
      </c>
      <c r="J48" s="352">
        <f>I48/'- 3 -'!E48</f>
        <v>0.004206900424183286</v>
      </c>
      <c r="K48" s="406">
        <f>I48/'- 7 -'!H48</f>
        <v>30.762535477767265</v>
      </c>
    </row>
    <row r="49" spans="1:11" ht="12.75">
      <c r="A49" s="11">
        <v>43</v>
      </c>
      <c r="B49" s="12" t="s">
        <v>154</v>
      </c>
      <c r="C49" s="405">
        <v>56940</v>
      </c>
      <c r="D49" s="351">
        <f>C49/'- 3 -'!E49</f>
        <v>0.0089550126210004</v>
      </c>
      <c r="E49" s="405">
        <f>C49/'- 7 -'!H49</f>
        <v>73.14065510597302</v>
      </c>
      <c r="F49" s="405">
        <v>20743</v>
      </c>
      <c r="G49" s="351">
        <f>F49/'- 3 -'!E49</f>
        <v>0.0032622730382404516</v>
      </c>
      <c r="H49" s="405">
        <f>F49/'- 7 -'!H49</f>
        <v>26.644829800899164</v>
      </c>
      <c r="I49" s="405">
        <v>139440</v>
      </c>
      <c r="J49" s="351">
        <f>I49/'- 3 -'!E49</f>
        <v>0.02192987284636979</v>
      </c>
      <c r="K49" s="405">
        <f>I49/'- 7 -'!H49</f>
        <v>179.11368015414257</v>
      </c>
    </row>
    <row r="50" spans="1:11" ht="12.75">
      <c r="A50" s="13">
        <v>44</v>
      </c>
      <c r="B50" s="14" t="s">
        <v>155</v>
      </c>
      <c r="C50" s="406">
        <v>28859</v>
      </c>
      <c r="D50" s="352">
        <f>C50/'- 3 -'!E50</f>
        <v>0.0031195364333620797</v>
      </c>
      <c r="E50" s="406">
        <f>C50/'- 7 -'!H50</f>
        <v>23.207880981101727</v>
      </c>
      <c r="F50" s="406">
        <v>20341</v>
      </c>
      <c r="G50" s="352">
        <f>F50/'- 3 -'!E50</f>
        <v>0.0021987764853604787</v>
      </c>
      <c r="H50" s="406">
        <f>F50/'- 7 -'!H50</f>
        <v>16.357860876558103</v>
      </c>
      <c r="I50" s="406">
        <v>88768</v>
      </c>
      <c r="J50" s="352">
        <f>I50/'- 3 -'!E50</f>
        <v>0.009595447178235043</v>
      </c>
      <c r="K50" s="406">
        <f>I50/'- 7 -'!H50</f>
        <v>71.38560514676317</v>
      </c>
    </row>
    <row r="51" spans="1:11" ht="12.75">
      <c r="A51" s="11">
        <v>45</v>
      </c>
      <c r="B51" s="12" t="s">
        <v>156</v>
      </c>
      <c r="C51" s="405">
        <v>44262</v>
      </c>
      <c r="D51" s="351">
        <f>C51/'- 3 -'!E51</f>
        <v>0.0036703300311806404</v>
      </c>
      <c r="E51" s="405">
        <f>C51/'- 7 -'!H51</f>
        <v>23.49238363144207</v>
      </c>
      <c r="F51" s="405">
        <v>36929</v>
      </c>
      <c r="G51" s="351">
        <f>F51/'- 3 -'!E51</f>
        <v>0.0030622569635685207</v>
      </c>
      <c r="H51" s="405">
        <f>F51/'- 7 -'!H51</f>
        <v>19.600339684730113</v>
      </c>
      <c r="I51" s="405">
        <v>168337</v>
      </c>
      <c r="J51" s="351">
        <f>I51/'- 3 -'!E51</f>
        <v>0.013958979405784994</v>
      </c>
      <c r="K51" s="405">
        <f>I51/'- 7 -'!H51</f>
        <v>89.34610689453851</v>
      </c>
    </row>
    <row r="52" spans="1:11" ht="12.75">
      <c r="A52" s="13">
        <v>46</v>
      </c>
      <c r="B52" s="14" t="s">
        <v>157</v>
      </c>
      <c r="C52" s="406">
        <v>84163</v>
      </c>
      <c r="D52" s="352">
        <f>C52/'- 3 -'!E52</f>
        <v>0.007693728444227534</v>
      </c>
      <c r="E52" s="406">
        <f>C52/'- 7 -'!H52</f>
        <v>58.55224711284263</v>
      </c>
      <c r="F52" s="406">
        <v>17918</v>
      </c>
      <c r="G52" s="352">
        <f>F52/'- 3 -'!E52</f>
        <v>0.001637967114571355</v>
      </c>
      <c r="H52" s="406">
        <f>F52/'- 7 -'!H52</f>
        <v>12.465562821761512</v>
      </c>
      <c r="I52" s="406">
        <v>68188</v>
      </c>
      <c r="J52" s="352">
        <f>I52/'- 3 -'!E52</f>
        <v>0.0062333799312641784</v>
      </c>
      <c r="K52" s="406">
        <f>I52/'- 7 -'!H52</f>
        <v>47.438430499513004</v>
      </c>
    </row>
    <row r="53" spans="1:11" ht="12.75">
      <c r="A53" s="11">
        <v>47</v>
      </c>
      <c r="B53" s="12" t="s">
        <v>158</v>
      </c>
      <c r="C53" s="405">
        <v>97102</v>
      </c>
      <c r="D53" s="351">
        <f>C53/'- 3 -'!E53</f>
        <v>0.010543979978360854</v>
      </c>
      <c r="E53" s="405">
        <f>C53/'- 7 -'!H53</f>
        <v>67.12893190459731</v>
      </c>
      <c r="F53" s="405">
        <v>14073</v>
      </c>
      <c r="G53" s="351">
        <f>F53/'- 3 -'!E53</f>
        <v>0.0015281397935724527</v>
      </c>
      <c r="H53" s="405">
        <f>F53/'- 7 -'!H53</f>
        <v>9.729001036985828</v>
      </c>
      <c r="I53" s="405">
        <v>101162</v>
      </c>
      <c r="J53" s="351">
        <f>I53/'- 3 -'!E53</f>
        <v>0.010984841739314749</v>
      </c>
      <c r="K53" s="405">
        <f>I53/'- 7 -'!H53</f>
        <v>69.93570687867266</v>
      </c>
    </row>
    <row r="54" spans="1:11" ht="12.75">
      <c r="A54" s="13">
        <v>48</v>
      </c>
      <c r="B54" s="14" t="s">
        <v>159</v>
      </c>
      <c r="C54" s="406">
        <v>329950</v>
      </c>
      <c r="D54" s="352">
        <f>C54/'- 3 -'!E54</f>
        <v>0.005555246977491897</v>
      </c>
      <c r="E54" s="406">
        <f>C54/'- 7 -'!H54</f>
        <v>63.115710541920926</v>
      </c>
      <c r="F54" s="406">
        <v>143630</v>
      </c>
      <c r="G54" s="352">
        <f>F54/'- 3 -'!E54</f>
        <v>0.0024182455625917903</v>
      </c>
      <c r="H54" s="406">
        <f>F54/'- 7 -'!H54</f>
        <v>27.474797712187005</v>
      </c>
      <c r="I54" s="406">
        <v>728159</v>
      </c>
      <c r="J54" s="352">
        <f>I54/'- 3 -'!E54</f>
        <v>0.012259745670203128</v>
      </c>
      <c r="K54" s="406">
        <f>I54/'- 7 -'!H54</f>
        <v>139.28859727987452</v>
      </c>
    </row>
    <row r="55" spans="1:11" ht="12.75">
      <c r="A55" s="11">
        <v>49</v>
      </c>
      <c r="B55" s="12" t="s">
        <v>160</v>
      </c>
      <c r="C55" s="405">
        <v>126803</v>
      </c>
      <c r="D55" s="351">
        <f>C55/'- 3 -'!E55</f>
        <v>0.0035005764081694783</v>
      </c>
      <c r="E55" s="405">
        <f>C55/'- 7 -'!H55</f>
        <v>29.760373638753286</v>
      </c>
      <c r="F55" s="405">
        <v>52971</v>
      </c>
      <c r="G55" s="351">
        <f>F55/'- 3 -'!E55</f>
        <v>0.001462339478696446</v>
      </c>
      <c r="H55" s="405">
        <f>F55/'- 7 -'!H55</f>
        <v>12.432172361997747</v>
      </c>
      <c r="I55" s="405">
        <v>602385</v>
      </c>
      <c r="J55" s="351">
        <f>I55/'- 3 -'!E55</f>
        <v>0.01662969109275941</v>
      </c>
      <c r="K55" s="405">
        <f>I55/'- 7 -'!H55</f>
        <v>141.37837964701464</v>
      </c>
    </row>
    <row r="56" spans="1:11" ht="12.75">
      <c r="A56" s="13">
        <v>50</v>
      </c>
      <c r="B56" s="14" t="s">
        <v>343</v>
      </c>
      <c r="C56" s="406">
        <v>115459</v>
      </c>
      <c r="D56" s="352">
        <f>C56/'- 3 -'!E56</f>
        <v>0.008010066158197193</v>
      </c>
      <c r="E56" s="406">
        <f>C56/'- 7 -'!H56</f>
        <v>65.51608693185042</v>
      </c>
      <c r="F56" s="406">
        <v>29634</v>
      </c>
      <c r="G56" s="352">
        <f>F56/'- 3 -'!E56</f>
        <v>0.0020558839114492213</v>
      </c>
      <c r="H56" s="406">
        <f>F56/'- 7 -'!H56</f>
        <v>16.815525165976283</v>
      </c>
      <c r="I56" s="406">
        <v>169623</v>
      </c>
      <c r="J56" s="352">
        <f>I56/'- 3 -'!E56</f>
        <v>0.01176773964742361</v>
      </c>
      <c r="K56" s="406">
        <f>I56/'- 7 -'!H56</f>
        <v>96.25092209044998</v>
      </c>
    </row>
    <row r="57" spans="1:11" ht="12.75">
      <c r="A57" s="11">
        <v>2264</v>
      </c>
      <c r="B57" s="12" t="s">
        <v>161</v>
      </c>
      <c r="C57" s="405">
        <v>30601</v>
      </c>
      <c r="D57" s="351">
        <f>C57/'- 3 -'!E57</f>
        <v>0.014535631508778362</v>
      </c>
      <c r="E57" s="405">
        <f>C57/'- 7 -'!H57</f>
        <v>155.73027989821884</v>
      </c>
      <c r="F57" s="405">
        <v>6554</v>
      </c>
      <c r="G57" s="351">
        <f>F57/'- 3 -'!E57</f>
        <v>0.00311318352042526</v>
      </c>
      <c r="H57" s="405">
        <f>F57/'- 7 -'!H57</f>
        <v>33.353689567430024</v>
      </c>
      <c r="I57" s="405">
        <v>12510</v>
      </c>
      <c r="J57" s="351">
        <f>I57/'- 3 -'!E57</f>
        <v>0.005942313982380226</v>
      </c>
      <c r="K57" s="405">
        <f>I57/'- 7 -'!H57</f>
        <v>63.66412213740458</v>
      </c>
    </row>
    <row r="58" spans="1:11" ht="12.75">
      <c r="A58" s="13">
        <v>2309</v>
      </c>
      <c r="B58" s="14" t="s">
        <v>162</v>
      </c>
      <c r="C58" s="406">
        <v>13142</v>
      </c>
      <c r="D58" s="352">
        <f>C58/'- 3 -'!E58</f>
        <v>0.005801761807260723</v>
      </c>
      <c r="E58" s="406">
        <f>C58/'- 7 -'!H58</f>
        <v>50.410433448408135</v>
      </c>
      <c r="F58" s="406">
        <v>0</v>
      </c>
      <c r="G58" s="352">
        <f>F58/'- 3 -'!E58</f>
        <v>0</v>
      </c>
      <c r="H58" s="406">
        <f>F58/'- 7 -'!H58</f>
        <v>0</v>
      </c>
      <c r="I58" s="406">
        <v>11475</v>
      </c>
      <c r="J58" s="352">
        <f>I58/'- 3 -'!E58</f>
        <v>0.005065836002002495</v>
      </c>
      <c r="K58" s="406">
        <f>I58/'- 7 -'!H58</f>
        <v>44.01611047180668</v>
      </c>
    </row>
    <row r="59" spans="1:11" ht="12.75">
      <c r="A59" s="11">
        <v>2312</v>
      </c>
      <c r="B59" s="12" t="s">
        <v>163</v>
      </c>
      <c r="C59" s="405">
        <v>40786</v>
      </c>
      <c r="D59" s="351">
        <f>C59/'- 3 -'!E59</f>
        <v>0.020247290374817626</v>
      </c>
      <c r="E59" s="405">
        <f>C59/'- 7 -'!H59</f>
        <v>234.4022988505747</v>
      </c>
      <c r="F59" s="405">
        <v>36234</v>
      </c>
      <c r="G59" s="351">
        <f>F59/'- 3 -'!E59</f>
        <v>0.017987552577873333</v>
      </c>
      <c r="H59" s="405">
        <f>F59/'- 7 -'!H59</f>
        <v>208.24137931034483</v>
      </c>
      <c r="I59" s="405">
        <v>14479</v>
      </c>
      <c r="J59" s="351">
        <f>I59/'- 3 -'!E59</f>
        <v>0.0071877731902364635</v>
      </c>
      <c r="K59" s="405">
        <f>I59/'- 7 -'!H59</f>
        <v>83.21264367816092</v>
      </c>
    </row>
    <row r="60" spans="1:11" ht="12.75">
      <c r="A60" s="13">
        <v>2355</v>
      </c>
      <c r="B60" s="14" t="s">
        <v>164</v>
      </c>
      <c r="C60" s="406">
        <v>87117</v>
      </c>
      <c r="D60" s="352">
        <f>C60/'- 3 -'!E60</f>
        <v>0.003502176195653042</v>
      </c>
      <c r="E60" s="406">
        <f>C60/'- 7 -'!H60</f>
        <v>26.229789540240265</v>
      </c>
      <c r="F60" s="406">
        <v>49867</v>
      </c>
      <c r="G60" s="352">
        <f>F60/'- 3 -'!E60</f>
        <v>0.0020046950692589305</v>
      </c>
      <c r="H60" s="406">
        <f>F60/'- 7 -'!H60</f>
        <v>15.014301628880258</v>
      </c>
      <c r="I60" s="406">
        <v>101592</v>
      </c>
      <c r="J60" s="352">
        <f>I60/'- 3 -'!E60</f>
        <v>0.004084083291077331</v>
      </c>
      <c r="K60" s="406">
        <f>I60/'- 7 -'!H60</f>
        <v>30.588022762171438</v>
      </c>
    </row>
    <row r="61" spans="1:11" ht="12.75">
      <c r="A61" s="11">
        <v>2439</v>
      </c>
      <c r="B61" s="12" t="s">
        <v>165</v>
      </c>
      <c r="C61" s="405">
        <v>0</v>
      </c>
      <c r="D61" s="351">
        <f>C61/'- 3 -'!E61</f>
        <v>0</v>
      </c>
      <c r="E61" s="405">
        <f>C61/'- 7 -'!H61</f>
        <v>0</v>
      </c>
      <c r="F61" s="405">
        <v>15010.39</v>
      </c>
      <c r="G61" s="351">
        <f>F61/'- 3 -'!E61</f>
        <v>0.010743330012960012</v>
      </c>
      <c r="H61" s="405">
        <f>F61/'- 7 -'!H61</f>
        <v>95.91303514376996</v>
      </c>
      <c r="I61" s="405">
        <v>8053.77</v>
      </c>
      <c r="J61" s="351">
        <f>I61/'- 3 -'!E61</f>
        <v>0.005764294529221224</v>
      </c>
      <c r="K61" s="405">
        <f>I61/'- 7 -'!H61</f>
        <v>51.461789137380194</v>
      </c>
    </row>
    <row r="62" spans="1:11" ht="12.75">
      <c r="A62" s="13">
        <v>2460</v>
      </c>
      <c r="B62" s="14" t="s">
        <v>166</v>
      </c>
      <c r="C62" s="406">
        <v>0</v>
      </c>
      <c r="D62" s="352">
        <f>C62/'- 3 -'!E62</f>
        <v>0</v>
      </c>
      <c r="E62" s="406">
        <f>C62/'- 7 -'!H62</f>
        <v>0</v>
      </c>
      <c r="F62" s="406">
        <v>12881</v>
      </c>
      <c r="G62" s="352">
        <f>F62/'- 3 -'!E62</f>
        <v>0.0038979989807887147</v>
      </c>
      <c r="H62" s="406">
        <f>F62/'- 7 -'!H62</f>
        <v>47.3218221895665</v>
      </c>
      <c r="I62" s="406">
        <v>48929</v>
      </c>
      <c r="J62" s="352">
        <f>I62/'- 3 -'!E62</f>
        <v>0.014806706942862435</v>
      </c>
      <c r="K62" s="406">
        <f>I62/'- 7 -'!H62</f>
        <v>179.75385745775165</v>
      </c>
    </row>
    <row r="63" spans="1:11" ht="12.75">
      <c r="A63" s="11">
        <v>3000</v>
      </c>
      <c r="B63" s="12" t="s">
        <v>366</v>
      </c>
      <c r="C63" s="405">
        <v>71956</v>
      </c>
      <c r="D63" s="351">
        <f>C63/'- 3 -'!E63</f>
        <v>0.012477435844970165</v>
      </c>
      <c r="E63" s="405">
        <f>C63/'- 7 -'!H63</f>
        <v>107.17307119451893</v>
      </c>
      <c r="F63" s="405">
        <v>78546</v>
      </c>
      <c r="G63" s="351">
        <f>F63/'- 3 -'!E63</f>
        <v>0.01362016615541479</v>
      </c>
      <c r="H63" s="405">
        <f>F63/'- 7 -'!H63</f>
        <v>116.98838248436104</v>
      </c>
      <c r="I63" s="405">
        <v>268759</v>
      </c>
      <c r="J63" s="351">
        <f>I63/'- 3 -'!E63</f>
        <v>0.0466038020492848</v>
      </c>
      <c r="K63" s="405">
        <f>I63/'- 7 -'!H63</f>
        <v>400.29639559130175</v>
      </c>
    </row>
    <row r="64" spans="1:11" ht="4.5" customHeight="1">
      <c r="A64" s="15"/>
      <c r="B64" s="15"/>
      <c r="C64" s="412"/>
      <c r="D64" s="194"/>
      <c r="E64" s="412"/>
      <c r="F64" s="412"/>
      <c r="G64" s="194"/>
      <c r="H64" s="412"/>
      <c r="I64" s="412"/>
      <c r="J64" s="194"/>
      <c r="K64" s="412"/>
    </row>
    <row r="65" spans="1:11" ht="12.75">
      <c r="A65" s="17"/>
      <c r="B65" s="18" t="s">
        <v>167</v>
      </c>
      <c r="C65" s="407">
        <f>SUM(C11:C63)</f>
        <v>6467806.94</v>
      </c>
      <c r="D65" s="100">
        <f>C65/'- 3 -'!E65</f>
        <v>0.004984584944105421</v>
      </c>
      <c r="E65" s="407">
        <f>C65/'- 7 -'!H65</f>
        <v>35.68809669886839</v>
      </c>
      <c r="F65" s="407">
        <f>SUM(F11:F63)</f>
        <v>4994685.909999999</v>
      </c>
      <c r="G65" s="100">
        <f>F65/'- 3 -'!E65</f>
        <v>0.003849285610791821</v>
      </c>
      <c r="H65" s="407">
        <f>F65/'- 7 -'!H65</f>
        <v>27.559702290148355</v>
      </c>
      <c r="I65" s="407">
        <f>SUM(I11:I63)</f>
        <v>18043849.02</v>
      </c>
      <c r="J65" s="100">
        <f>I65/'- 3 -'!E65</f>
        <v>0.013905965189307791</v>
      </c>
      <c r="K65" s="407">
        <f>I65/'- 7 -'!H65</f>
        <v>99.56243818334218</v>
      </c>
    </row>
    <row r="66" spans="1:11" ht="4.5" customHeight="1">
      <c r="A66" s="15"/>
      <c r="B66" s="15"/>
      <c r="C66" s="412"/>
      <c r="D66" s="194"/>
      <c r="E66" s="412"/>
      <c r="F66" s="412"/>
      <c r="G66" s="194"/>
      <c r="H66" s="412"/>
      <c r="I66" s="412"/>
      <c r="J66" s="194"/>
      <c r="K66" s="412"/>
    </row>
    <row r="67" spans="1:11" ht="12.75">
      <c r="A67" s="13">
        <v>2155</v>
      </c>
      <c r="B67" s="14" t="s">
        <v>168</v>
      </c>
      <c r="C67" s="406">
        <v>0</v>
      </c>
      <c r="D67" s="352">
        <f>C67/'- 3 -'!E67</f>
        <v>0</v>
      </c>
      <c r="E67" s="406">
        <f>C67/'- 7 -'!H67</f>
        <v>0</v>
      </c>
      <c r="F67" s="406">
        <v>4451</v>
      </c>
      <c r="G67" s="352">
        <f>F67/'- 3 -'!E67</f>
        <v>0.0037197136978736885</v>
      </c>
      <c r="H67" s="406">
        <f>F67/'- 7 -'!H67</f>
        <v>30.486301369863014</v>
      </c>
      <c r="I67" s="406">
        <v>224</v>
      </c>
      <c r="J67" s="352">
        <f>I67/'- 3 -'!E67</f>
        <v>0.0001871974541279951</v>
      </c>
      <c r="K67" s="406">
        <f>I67/'- 7 -'!H67</f>
        <v>1.5342465753424657</v>
      </c>
    </row>
    <row r="68" spans="1:11" ht="12.75">
      <c r="A68" s="11">
        <v>2408</v>
      </c>
      <c r="B68" s="12" t="s">
        <v>170</v>
      </c>
      <c r="C68" s="405">
        <v>0</v>
      </c>
      <c r="D68" s="351">
        <f>C68/'- 3 -'!E68</f>
        <v>0</v>
      </c>
      <c r="E68" s="405">
        <f>C68/'- 7 -'!H68</f>
        <v>0</v>
      </c>
      <c r="F68" s="405">
        <v>24972</v>
      </c>
      <c r="G68" s="351">
        <f>F68/'- 3 -'!E68</f>
        <v>0.011647800948167938</v>
      </c>
      <c r="H68" s="405">
        <f>F68/'- 7 -'!H68</f>
        <v>96.79069767441861</v>
      </c>
      <c r="I68" s="405">
        <v>17578</v>
      </c>
      <c r="J68" s="351">
        <f>I68/'- 3 -'!E68</f>
        <v>0.008198984665501202</v>
      </c>
      <c r="K68" s="405">
        <f>I68/'- 7 -'!H68</f>
        <v>68.13178294573643</v>
      </c>
    </row>
    <row r="69" ht="6.75" customHeight="1"/>
    <row r="70" spans="1:2" ht="12" customHeight="1">
      <c r="A70" s="380" t="s">
        <v>354</v>
      </c>
      <c r="B70" s="4" t="s">
        <v>471</v>
      </c>
    </row>
    <row r="71" spans="1:2" ht="12" customHeight="1">
      <c r="A71" s="52"/>
      <c r="B71" s="381" t="s">
        <v>470</v>
      </c>
    </row>
    <row r="72" spans="1:2" ht="12" customHeight="1">
      <c r="A72" s="4"/>
      <c r="B72" s="4"/>
    </row>
    <row r="73" spans="1:2" ht="12" customHeight="1">
      <c r="A73" s="4"/>
      <c r="B73" s="4"/>
    </row>
    <row r="74" spans="1:2" ht="12" customHeight="1">
      <c r="A74" s="4"/>
      <c r="B74" s="4"/>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F74"/>
  <sheetViews>
    <sheetView showGridLines="0" workbookViewId="0" topLeftCell="A1">
      <selection activeCell="A1" sqref="A1"/>
    </sheetView>
  </sheetViews>
  <sheetFormatPr defaultColWidth="15.83203125" defaultRowHeight="12"/>
  <cols>
    <col min="1" max="1" width="6.83203125" style="79" customWidth="1"/>
    <col min="2" max="2" width="33.83203125" style="79" customWidth="1"/>
    <col min="3" max="3" width="35.83203125" style="79" customWidth="1"/>
    <col min="4" max="5" width="15.83203125" style="79" customWidth="1"/>
    <col min="6" max="6" width="30.83203125" style="79" customWidth="1"/>
    <col min="7" max="16384" width="15.83203125" style="79" customWidth="1"/>
  </cols>
  <sheetData>
    <row r="1" spans="1:5" ht="6.75" customHeight="1">
      <c r="A1" s="15"/>
      <c r="B1" s="77"/>
      <c r="C1" s="139"/>
      <c r="D1" s="139"/>
      <c r="E1" s="139"/>
    </row>
    <row r="2" spans="1:6" ht="12.75">
      <c r="A2" s="6"/>
      <c r="B2" s="80"/>
      <c r="C2" s="196" t="s">
        <v>320</v>
      </c>
      <c r="D2" s="197"/>
      <c r="E2" s="196"/>
      <c r="F2" s="6"/>
    </row>
    <row r="3" spans="1:6" ht="12.75">
      <c r="A3" s="7"/>
      <c r="B3" s="83"/>
      <c r="C3" s="199" t="str">
        <f>YEAR</f>
        <v>OPERATING FUND ACTUAL 2001/2002</v>
      </c>
      <c r="D3" s="199"/>
      <c r="E3" s="199"/>
      <c r="F3" s="7"/>
    </row>
    <row r="4" spans="1:5" ht="12.75">
      <c r="A4" s="8"/>
      <c r="C4" s="139"/>
      <c r="D4" s="139"/>
      <c r="E4" s="139"/>
    </row>
    <row r="5" ht="12.75">
      <c r="A5" s="8"/>
    </row>
    <row r="6" spans="1:5" ht="18.75">
      <c r="A6" s="8"/>
      <c r="C6" s="389" t="s">
        <v>407</v>
      </c>
      <c r="D6" s="336"/>
      <c r="E6" s="337"/>
    </row>
    <row r="7" spans="3:5" ht="12.75">
      <c r="C7" s="65" t="s">
        <v>70</v>
      </c>
      <c r="D7" s="66"/>
      <c r="E7" s="67"/>
    </row>
    <row r="8" spans="1:5" ht="12.75">
      <c r="A8" s="91"/>
      <c r="B8" s="43"/>
      <c r="C8" s="70"/>
      <c r="D8" s="71"/>
      <c r="E8" s="226" t="s">
        <v>76</v>
      </c>
    </row>
    <row r="9" spans="1:5" ht="12.75">
      <c r="A9" s="49" t="s">
        <v>101</v>
      </c>
      <c r="B9" s="50" t="s">
        <v>102</v>
      </c>
      <c r="C9" s="73" t="s">
        <v>103</v>
      </c>
      <c r="D9" s="73" t="s">
        <v>104</v>
      </c>
      <c r="E9" s="73" t="s">
        <v>105</v>
      </c>
    </row>
    <row r="10" spans="1:2" ht="4.5" customHeight="1">
      <c r="A10" s="74"/>
      <c r="B10" s="74"/>
    </row>
    <row r="11" spans="1:5" ht="12.75">
      <c r="A11" s="11">
        <v>1</v>
      </c>
      <c r="B11" s="12" t="s">
        <v>116</v>
      </c>
      <c r="C11" s="405">
        <f>SUM('- 38 -'!C11,'- 38 -'!F11,'- 38 -'!I11)</f>
        <v>6965041</v>
      </c>
      <c r="D11" s="351">
        <f>C11/'- 3 -'!E11</f>
        <v>0.028896557758578068</v>
      </c>
      <c r="E11" s="405">
        <f>C11/'- 7 -'!H11</f>
        <v>226.18689779919657</v>
      </c>
    </row>
    <row r="12" spans="1:5" ht="12.75">
      <c r="A12" s="13">
        <v>2</v>
      </c>
      <c r="B12" s="14" t="s">
        <v>117</v>
      </c>
      <c r="C12" s="406">
        <f>SUM('- 38 -'!C12,'- 38 -'!F12,'- 38 -'!I12)</f>
        <v>1674174</v>
      </c>
      <c r="D12" s="352">
        <f>C12/'- 3 -'!E12</f>
        <v>0.02786037299797679</v>
      </c>
      <c r="E12" s="406">
        <f>C12/'- 7 -'!H12</f>
        <v>183.13255384292276</v>
      </c>
    </row>
    <row r="13" spans="1:5" ht="12.75">
      <c r="A13" s="11">
        <v>3</v>
      </c>
      <c r="B13" s="12" t="s">
        <v>118</v>
      </c>
      <c r="C13" s="405">
        <f>SUM('- 38 -'!C13,'- 38 -'!F13,'- 38 -'!I13)</f>
        <v>1234910</v>
      </c>
      <c r="D13" s="351">
        <f>C13/'- 3 -'!E13</f>
        <v>0.029416346676067878</v>
      </c>
      <c r="E13" s="405">
        <f>C13/'- 7 -'!H13</f>
        <v>210.96950542410525</v>
      </c>
    </row>
    <row r="14" spans="1:5" ht="12.75">
      <c r="A14" s="13">
        <v>4</v>
      </c>
      <c r="B14" s="14" t="s">
        <v>119</v>
      </c>
      <c r="C14" s="406">
        <f>SUM('- 38 -'!C14,'- 38 -'!F14,'- 38 -'!I14)</f>
        <v>1009712</v>
      </c>
      <c r="D14" s="352">
        <f>C14/'- 3 -'!E14</f>
        <v>0.02429198523774956</v>
      </c>
      <c r="E14" s="406">
        <f>C14/'- 7 -'!H14</f>
        <v>170.79603504854697</v>
      </c>
    </row>
    <row r="15" spans="1:5" ht="12.75">
      <c r="A15" s="11">
        <v>5</v>
      </c>
      <c r="B15" s="12" t="s">
        <v>120</v>
      </c>
      <c r="C15" s="405">
        <f>SUM('- 38 -'!C15,'- 38 -'!F15,'- 38 -'!I15)</f>
        <v>1551547</v>
      </c>
      <c r="D15" s="351">
        <f>C15/'- 3 -'!E15</f>
        <v>0.03087184134817535</v>
      </c>
      <c r="E15" s="405">
        <f>C15/'- 7 -'!H15</f>
        <v>215.08338300733325</v>
      </c>
    </row>
    <row r="16" spans="1:5" ht="12.75">
      <c r="A16" s="13">
        <v>6</v>
      </c>
      <c r="B16" s="14" t="s">
        <v>121</v>
      </c>
      <c r="C16" s="406">
        <f>SUM('- 38 -'!C16,'- 38 -'!F16,'- 38 -'!I16)</f>
        <v>1272614</v>
      </c>
      <c r="D16" s="352">
        <f>C16/'- 3 -'!E16</f>
        <v>0.02197336955670622</v>
      </c>
      <c r="E16" s="406">
        <f>C16/'- 7 -'!H16</f>
        <v>144.87864298724955</v>
      </c>
    </row>
    <row r="17" spans="1:5" ht="12.75">
      <c r="A17" s="11">
        <v>9</v>
      </c>
      <c r="B17" s="12" t="s">
        <v>122</v>
      </c>
      <c r="C17" s="405">
        <f>SUM('- 38 -'!C17,'- 38 -'!F17,'- 38 -'!I17)</f>
        <v>1108051</v>
      </c>
      <c r="D17" s="351">
        <f>C17/'- 3 -'!E17</f>
        <v>0.013592101792011603</v>
      </c>
      <c r="E17" s="405">
        <f>C17/'- 7 -'!H17</f>
        <v>88.3845828647092</v>
      </c>
    </row>
    <row r="18" spans="1:5" ht="12.75">
      <c r="A18" s="13">
        <v>10</v>
      </c>
      <c r="B18" s="14" t="s">
        <v>123</v>
      </c>
      <c r="C18" s="406">
        <f>SUM('- 38 -'!C18,'- 38 -'!F18,'- 38 -'!I18)</f>
        <v>845896.8400000001</v>
      </c>
      <c r="D18" s="352">
        <f>C18/'- 3 -'!E18</f>
        <v>0.01411686562378406</v>
      </c>
      <c r="E18" s="406">
        <f>C18/'- 7 -'!H18</f>
        <v>98.74474289383063</v>
      </c>
    </row>
    <row r="19" spans="1:5" ht="12.75">
      <c r="A19" s="11">
        <v>11</v>
      </c>
      <c r="B19" s="12" t="s">
        <v>124</v>
      </c>
      <c r="C19" s="405">
        <f>SUM('- 38 -'!C19,'- 38 -'!F19,'- 38 -'!I19)</f>
        <v>671463</v>
      </c>
      <c r="D19" s="351">
        <f>C19/'- 3 -'!E19</f>
        <v>0.02077028631816629</v>
      </c>
      <c r="E19" s="405">
        <f>C19/'- 7 -'!H19</f>
        <v>142.3948679885484</v>
      </c>
    </row>
    <row r="20" spans="1:5" ht="12.75">
      <c r="A20" s="13">
        <v>12</v>
      </c>
      <c r="B20" s="14" t="s">
        <v>125</v>
      </c>
      <c r="C20" s="406">
        <f>SUM('- 38 -'!C20,'- 38 -'!F20,'- 38 -'!I20)</f>
        <v>704368</v>
      </c>
      <c r="D20" s="352">
        <f>C20/'- 3 -'!E20</f>
        <v>0.013598263636749397</v>
      </c>
      <c r="E20" s="406">
        <f>C20/'- 7 -'!H20</f>
        <v>91.25119834175412</v>
      </c>
    </row>
    <row r="21" spans="1:5" ht="12.75">
      <c r="A21" s="11">
        <v>13</v>
      </c>
      <c r="B21" s="12" t="s">
        <v>126</v>
      </c>
      <c r="C21" s="405">
        <f>SUM('- 38 -'!C21,'- 38 -'!F21,'- 38 -'!I21)</f>
        <v>515381</v>
      </c>
      <c r="D21" s="351">
        <f>C21/'- 3 -'!E21</f>
        <v>0.026071013604421166</v>
      </c>
      <c r="E21" s="405">
        <f>C21/'- 7 -'!H21</f>
        <v>192.72343130655898</v>
      </c>
    </row>
    <row r="22" spans="1:5" ht="12.75">
      <c r="A22" s="13">
        <v>14</v>
      </c>
      <c r="B22" s="14" t="s">
        <v>127</v>
      </c>
      <c r="C22" s="406">
        <f>SUM('- 38 -'!C22,'- 38 -'!F22,'- 38 -'!I22)</f>
        <v>394627</v>
      </c>
      <c r="D22" s="352">
        <f>C22/'- 3 -'!E22</f>
        <v>0.017161214141295327</v>
      </c>
      <c r="E22" s="406">
        <f>C22/'- 7 -'!H22</f>
        <v>112.25344901152042</v>
      </c>
    </row>
    <row r="23" spans="1:5" ht="12.75">
      <c r="A23" s="11">
        <v>15</v>
      </c>
      <c r="B23" s="12" t="s">
        <v>128</v>
      </c>
      <c r="C23" s="405">
        <f>SUM('- 38 -'!C23,'- 38 -'!F23,'- 38 -'!I23)</f>
        <v>856722</v>
      </c>
      <c r="D23" s="351">
        <f>C23/'- 3 -'!E23</f>
        <v>0.026783122583050947</v>
      </c>
      <c r="E23" s="405">
        <f>C23/'- 7 -'!H23</f>
        <v>142.92992992992993</v>
      </c>
    </row>
    <row r="24" spans="1:5" ht="12.75">
      <c r="A24" s="13">
        <v>16</v>
      </c>
      <c r="B24" s="14" t="s">
        <v>129</v>
      </c>
      <c r="C24" s="406">
        <f>SUM('- 38 -'!C24,'- 38 -'!F24,'- 38 -'!I24)</f>
        <v>141203</v>
      </c>
      <c r="D24" s="352">
        <f>C24/'- 3 -'!E24</f>
        <v>0.022848694660124312</v>
      </c>
      <c r="E24" s="406">
        <f>C24/'- 7 -'!H24</f>
        <v>167.93886774500476</v>
      </c>
    </row>
    <row r="25" spans="1:5" ht="12.75">
      <c r="A25" s="11">
        <v>17</v>
      </c>
      <c r="B25" s="12" t="s">
        <v>130</v>
      </c>
      <c r="C25" s="405">
        <f>SUM('- 38 -'!C25,'- 38 -'!F25,'- 38 -'!I25)</f>
        <v>85192</v>
      </c>
      <c r="D25" s="351">
        <f>C25/'- 3 -'!E25</f>
        <v>0.02046454999309257</v>
      </c>
      <c r="E25" s="405">
        <f>C25/'- 7 -'!H25</f>
        <v>174.5737704918033</v>
      </c>
    </row>
    <row r="26" spans="1:5" ht="12.75">
      <c r="A26" s="13">
        <v>18</v>
      </c>
      <c r="B26" s="14" t="s">
        <v>131</v>
      </c>
      <c r="C26" s="406">
        <f>SUM('- 38 -'!C26,'- 38 -'!F26,'- 38 -'!I26)</f>
        <v>132634</v>
      </c>
      <c r="D26" s="352">
        <f>C26/'- 3 -'!E26</f>
        <v>0.01381046912798762</v>
      </c>
      <c r="E26" s="406">
        <f>C26/'- 7 -'!H26</f>
        <v>90.19653179190752</v>
      </c>
    </row>
    <row r="27" spans="1:5" ht="12.75">
      <c r="A27" s="11">
        <v>19</v>
      </c>
      <c r="B27" s="12" t="s">
        <v>132</v>
      </c>
      <c r="C27" s="405">
        <f>SUM('- 38 -'!C27,'- 38 -'!F27,'- 38 -'!I27)</f>
        <v>242100.5</v>
      </c>
      <c r="D27" s="351">
        <f>C27/'- 3 -'!E27</f>
        <v>0.016470049131925915</v>
      </c>
      <c r="E27" s="405">
        <f>C27/'- 7 -'!H27</f>
        <v>130.2666128598332</v>
      </c>
    </row>
    <row r="28" spans="1:5" ht="12.75">
      <c r="A28" s="13">
        <v>20</v>
      </c>
      <c r="B28" s="14" t="s">
        <v>133</v>
      </c>
      <c r="C28" s="406">
        <f>SUM('- 38 -'!C28,'- 38 -'!F28,'- 38 -'!I28)</f>
        <v>122346</v>
      </c>
      <c r="D28" s="352">
        <f>C28/'- 3 -'!E28</f>
        <v>0.016185258008855816</v>
      </c>
      <c r="E28" s="406">
        <f>C28/'- 7 -'!H28</f>
        <v>128.17810371922474</v>
      </c>
    </row>
    <row r="29" spans="1:5" ht="12.75">
      <c r="A29" s="11">
        <v>21</v>
      </c>
      <c r="B29" s="12" t="s">
        <v>134</v>
      </c>
      <c r="C29" s="405">
        <f>SUM('- 38 -'!C29,'- 38 -'!F29,'- 38 -'!I29)</f>
        <v>354512</v>
      </c>
      <c r="D29" s="351">
        <f>C29/'- 3 -'!E29</f>
        <v>0.01589348203689351</v>
      </c>
      <c r="E29" s="405">
        <f>C29/'- 7 -'!H29</f>
        <v>103.31108844528632</v>
      </c>
    </row>
    <row r="30" spans="1:5" ht="12.75">
      <c r="A30" s="13">
        <v>22</v>
      </c>
      <c r="B30" s="14" t="s">
        <v>135</v>
      </c>
      <c r="C30" s="406">
        <f>SUM('- 38 -'!C30,'- 38 -'!F30,'- 38 -'!I30)</f>
        <v>188498</v>
      </c>
      <c r="D30" s="352">
        <f>C30/'- 3 -'!E30</f>
        <v>0.016012814465068206</v>
      </c>
      <c r="E30" s="406">
        <f>C30/'- 7 -'!H30</f>
        <v>106.76748796374964</v>
      </c>
    </row>
    <row r="31" spans="1:5" ht="12.75">
      <c r="A31" s="11">
        <v>23</v>
      </c>
      <c r="B31" s="12" t="s">
        <v>136</v>
      </c>
      <c r="C31" s="405">
        <f>SUM('- 38 -'!C31,'- 38 -'!F31,'- 38 -'!I31)</f>
        <v>174503</v>
      </c>
      <c r="D31" s="351">
        <f>C31/'- 3 -'!E31</f>
        <v>0.017253069807192104</v>
      </c>
      <c r="E31" s="405">
        <f>C31/'- 7 -'!H31</f>
        <v>121.35118219749653</v>
      </c>
    </row>
    <row r="32" spans="1:5" ht="12.75">
      <c r="A32" s="13">
        <v>24</v>
      </c>
      <c r="B32" s="14" t="s">
        <v>137</v>
      </c>
      <c r="C32" s="406">
        <f>SUM('- 38 -'!C32,'- 38 -'!F32,'- 38 -'!I32)</f>
        <v>442502</v>
      </c>
      <c r="D32" s="352">
        <f>C32/'- 3 -'!E32</f>
        <v>0.019466754123688777</v>
      </c>
      <c r="E32" s="406">
        <f>C32/'- 7 -'!H32</f>
        <v>123.84606773019871</v>
      </c>
    </row>
    <row r="33" spans="1:5" ht="12.75">
      <c r="A33" s="11">
        <v>25</v>
      </c>
      <c r="B33" s="12" t="s">
        <v>138</v>
      </c>
      <c r="C33" s="405">
        <f>SUM('- 38 -'!C33,'- 38 -'!F33,'- 38 -'!I33)</f>
        <v>198994</v>
      </c>
      <c r="D33" s="351">
        <f>C33/'- 3 -'!E33</f>
        <v>0.01893693771539037</v>
      </c>
      <c r="E33" s="405">
        <f>C33/'- 7 -'!H33</f>
        <v>136.38133095743953</v>
      </c>
    </row>
    <row r="34" spans="1:5" ht="12.75">
      <c r="A34" s="13">
        <v>26</v>
      </c>
      <c r="B34" s="14" t="s">
        <v>139</v>
      </c>
      <c r="C34" s="406">
        <f>SUM('- 38 -'!C34,'- 38 -'!F34,'- 38 -'!I34)</f>
        <v>401612</v>
      </c>
      <c r="D34" s="352">
        <f>C34/'- 3 -'!E34</f>
        <v>0.02476125920804934</v>
      </c>
      <c r="E34" s="406">
        <f>C34/'- 7 -'!H34</f>
        <v>141.25848545601633</v>
      </c>
    </row>
    <row r="35" spans="1:5" ht="12.75">
      <c r="A35" s="11">
        <v>28</v>
      </c>
      <c r="B35" s="12" t="s">
        <v>140</v>
      </c>
      <c r="C35" s="405">
        <f>SUM('- 38 -'!C35,'- 38 -'!F35,'- 38 -'!I35)</f>
        <v>105848</v>
      </c>
      <c r="D35" s="351">
        <f>C35/'- 3 -'!E35</f>
        <v>0.016617738786189794</v>
      </c>
      <c r="E35" s="405">
        <f>C35/'- 7 -'!H35</f>
        <v>120.10166568329325</v>
      </c>
    </row>
    <row r="36" spans="1:5" ht="12.75">
      <c r="A36" s="13">
        <v>30</v>
      </c>
      <c r="B36" s="14" t="s">
        <v>141</v>
      </c>
      <c r="C36" s="406">
        <f>SUM('- 38 -'!C36,'- 38 -'!F36,'- 38 -'!I36)</f>
        <v>125375</v>
      </c>
      <c r="D36" s="352">
        <f>C36/'- 3 -'!E36</f>
        <v>0.013570267956914576</v>
      </c>
      <c r="E36" s="406">
        <f>C36/'- 7 -'!H36</f>
        <v>96.31635553506952</v>
      </c>
    </row>
    <row r="37" spans="1:5" ht="12.75">
      <c r="A37" s="11">
        <v>31</v>
      </c>
      <c r="B37" s="12" t="s">
        <v>142</v>
      </c>
      <c r="C37" s="405">
        <f>SUM('- 38 -'!C37,'- 38 -'!F37,'- 38 -'!I37)</f>
        <v>375909</v>
      </c>
      <c r="D37" s="351">
        <f>C37/'- 3 -'!E37</f>
        <v>0.03493859913606413</v>
      </c>
      <c r="E37" s="405">
        <f>C37/'- 7 -'!H37</f>
        <v>227.68564506359783</v>
      </c>
    </row>
    <row r="38" spans="1:5" ht="12.75">
      <c r="A38" s="13">
        <v>32</v>
      </c>
      <c r="B38" s="14" t="s">
        <v>143</v>
      </c>
      <c r="C38" s="406">
        <f>SUM('- 38 -'!C38,'- 38 -'!F38,'- 38 -'!I38)</f>
        <v>157598</v>
      </c>
      <c r="D38" s="352">
        <f>C38/'- 3 -'!E38</f>
        <v>0.024844518476443915</v>
      </c>
      <c r="E38" s="406">
        <f>C38/'- 7 -'!H38</f>
        <v>190.10615199034982</v>
      </c>
    </row>
    <row r="39" spans="1:5" ht="12.75">
      <c r="A39" s="11">
        <v>33</v>
      </c>
      <c r="B39" s="12" t="s">
        <v>144</v>
      </c>
      <c r="C39" s="405">
        <f>SUM('- 38 -'!C39,'- 38 -'!F39,'- 38 -'!I39)</f>
        <v>339335</v>
      </c>
      <c r="D39" s="351">
        <f>C39/'- 3 -'!E39</f>
        <v>0.026100634373059046</v>
      </c>
      <c r="E39" s="405">
        <f>C39/'- 7 -'!H39</f>
        <v>178.31581713084603</v>
      </c>
    </row>
    <row r="40" spans="1:5" ht="12.75">
      <c r="A40" s="13">
        <v>34</v>
      </c>
      <c r="B40" s="14" t="s">
        <v>145</v>
      </c>
      <c r="C40" s="406">
        <f>SUM('- 38 -'!C40,'- 38 -'!F40,'- 38 -'!I40)</f>
        <v>58938.369999999995</v>
      </c>
      <c r="D40" s="352">
        <f>C40/'- 3 -'!E40</f>
        <v>0.010181758133005718</v>
      </c>
      <c r="E40" s="406">
        <f>C40/'- 7 -'!H40</f>
        <v>80.40705320600273</v>
      </c>
    </row>
    <row r="41" spans="1:5" ht="12.75">
      <c r="A41" s="11">
        <v>35</v>
      </c>
      <c r="B41" s="12" t="s">
        <v>146</v>
      </c>
      <c r="C41" s="405">
        <f>SUM('- 38 -'!C41,'- 38 -'!F41,'- 38 -'!I41)</f>
        <v>731334</v>
      </c>
      <c r="D41" s="351">
        <f>C41/'- 3 -'!E41</f>
        <v>0.05254289000535659</v>
      </c>
      <c r="E41" s="405">
        <f>C41/'- 7 -'!H41</f>
        <v>380.1507433205114</v>
      </c>
    </row>
    <row r="42" spans="1:5" ht="12.75">
      <c r="A42" s="13">
        <v>36</v>
      </c>
      <c r="B42" s="14" t="s">
        <v>147</v>
      </c>
      <c r="C42" s="406">
        <f>SUM('- 38 -'!C42,'- 38 -'!F42,'- 38 -'!I42)</f>
        <v>387449</v>
      </c>
      <c r="D42" s="352">
        <f>C42/'- 3 -'!E42</f>
        <v>0.04834850550247095</v>
      </c>
      <c r="E42" s="406">
        <f>C42/'- 7 -'!H42</f>
        <v>384.1834407535944</v>
      </c>
    </row>
    <row r="43" spans="1:5" ht="12.75">
      <c r="A43" s="11">
        <v>37</v>
      </c>
      <c r="B43" s="12" t="s">
        <v>148</v>
      </c>
      <c r="C43" s="405">
        <f>SUM('- 38 -'!C43,'- 38 -'!F43,'- 38 -'!I43)</f>
        <v>213816</v>
      </c>
      <c r="D43" s="351">
        <f>C43/'- 3 -'!E43</f>
        <v>0.031112232904333955</v>
      </c>
      <c r="E43" s="405">
        <f>C43/'- 7 -'!H43</f>
        <v>222.0311526479751</v>
      </c>
    </row>
    <row r="44" spans="1:5" ht="12.75">
      <c r="A44" s="13">
        <v>38</v>
      </c>
      <c r="B44" s="14" t="s">
        <v>149</v>
      </c>
      <c r="C44" s="406">
        <f>SUM('- 38 -'!C44,'- 38 -'!F44,'- 38 -'!I44)</f>
        <v>96371</v>
      </c>
      <c r="D44" s="352">
        <f>C44/'- 3 -'!E44</f>
        <v>0.010787370232763892</v>
      </c>
      <c r="E44" s="406">
        <f>C44/'- 7 -'!H44</f>
        <v>82.50941780821918</v>
      </c>
    </row>
    <row r="45" spans="1:5" ht="12.75">
      <c r="A45" s="11">
        <v>39</v>
      </c>
      <c r="B45" s="12" t="s">
        <v>150</v>
      </c>
      <c r="C45" s="405">
        <f>SUM('- 38 -'!C45,'- 38 -'!F45,'- 38 -'!I45)</f>
        <v>141835</v>
      </c>
      <c r="D45" s="351">
        <f>C45/'- 3 -'!E45</f>
        <v>0.009505022446220913</v>
      </c>
      <c r="E45" s="405">
        <f>C45/'- 7 -'!H45</f>
        <v>66.90330188679245</v>
      </c>
    </row>
    <row r="46" spans="1:5" ht="12.75">
      <c r="A46" s="13">
        <v>40</v>
      </c>
      <c r="B46" s="14" t="s">
        <v>151</v>
      </c>
      <c r="C46" s="406">
        <f>SUM('- 38 -'!C46,'- 38 -'!F46,'- 38 -'!I46)</f>
        <v>849805</v>
      </c>
      <c r="D46" s="352">
        <f>C46/'- 3 -'!E46</f>
        <v>0.01896921600968304</v>
      </c>
      <c r="E46" s="406">
        <f>C46/'- 7 -'!H46</f>
        <v>114.82299689231185</v>
      </c>
    </row>
    <row r="47" spans="1:5" ht="12.75">
      <c r="A47" s="11">
        <v>41</v>
      </c>
      <c r="B47" s="12" t="s">
        <v>152</v>
      </c>
      <c r="C47" s="405">
        <f>SUM('- 38 -'!C47,'- 38 -'!F47,'- 38 -'!I47)</f>
        <v>297238</v>
      </c>
      <c r="D47" s="351">
        <f>C47/'- 3 -'!E47</f>
        <v>0.024217909200806062</v>
      </c>
      <c r="E47" s="405">
        <f>C47/'- 7 -'!H47</f>
        <v>179.52406836987376</v>
      </c>
    </row>
    <row r="48" spans="1:5" ht="12.75">
      <c r="A48" s="13">
        <v>42</v>
      </c>
      <c r="B48" s="14" t="s">
        <v>153</v>
      </c>
      <c r="C48" s="406">
        <f>SUM('- 38 -'!C48,'- 38 -'!F48,'- 38 -'!I48)</f>
        <v>142556</v>
      </c>
      <c r="D48" s="352">
        <f>C48/'- 3 -'!E48</f>
        <v>0.018443809105359595</v>
      </c>
      <c r="E48" s="406">
        <f>C48/'- 7 -'!H48</f>
        <v>134.86849574266793</v>
      </c>
    </row>
    <row r="49" spans="1:5" ht="12.75">
      <c r="A49" s="11">
        <v>43</v>
      </c>
      <c r="B49" s="12" t="s">
        <v>154</v>
      </c>
      <c r="C49" s="405">
        <f>SUM('- 38 -'!C49,'- 38 -'!F49,'- 38 -'!I49)</f>
        <v>217123</v>
      </c>
      <c r="D49" s="351">
        <f>C49/'- 3 -'!E49</f>
        <v>0.03414715850561065</v>
      </c>
      <c r="E49" s="405">
        <f>C49/'- 7 -'!H49</f>
        <v>278.8991650610148</v>
      </c>
    </row>
    <row r="50" spans="1:5" ht="12.75">
      <c r="A50" s="13">
        <v>44</v>
      </c>
      <c r="B50" s="14" t="s">
        <v>155</v>
      </c>
      <c r="C50" s="406">
        <f>SUM('- 38 -'!C50,'- 38 -'!F50,'- 38 -'!I50)</f>
        <v>137968</v>
      </c>
      <c r="D50" s="352">
        <f>C50/'- 3 -'!E50</f>
        <v>0.014913760096957602</v>
      </c>
      <c r="E50" s="406">
        <f>C50/'- 7 -'!H50</f>
        <v>110.951347004423</v>
      </c>
    </row>
    <row r="51" spans="1:5" ht="12.75">
      <c r="A51" s="11">
        <v>45</v>
      </c>
      <c r="B51" s="12" t="s">
        <v>156</v>
      </c>
      <c r="C51" s="405">
        <f>SUM('- 38 -'!C51,'- 38 -'!F51,'- 38 -'!I51)</f>
        <v>249528</v>
      </c>
      <c r="D51" s="351">
        <f>C51/'- 3 -'!E51</f>
        <v>0.020691566400534156</v>
      </c>
      <c r="E51" s="405">
        <f>C51/'- 7 -'!H51</f>
        <v>132.43883021071068</v>
      </c>
    </row>
    <row r="52" spans="1:5" ht="12.75">
      <c r="A52" s="13">
        <v>46</v>
      </c>
      <c r="B52" s="14" t="s">
        <v>157</v>
      </c>
      <c r="C52" s="406">
        <f>SUM('- 38 -'!C52,'- 38 -'!F52,'- 38 -'!I52)</f>
        <v>170269</v>
      </c>
      <c r="D52" s="352">
        <f>C52/'- 3 -'!E52</f>
        <v>0.015565075490063068</v>
      </c>
      <c r="E52" s="406">
        <f>C52/'- 7 -'!H52</f>
        <v>118.45624043411715</v>
      </c>
    </row>
    <row r="53" spans="1:5" ht="12.75">
      <c r="A53" s="11">
        <v>47</v>
      </c>
      <c r="B53" s="12" t="s">
        <v>158</v>
      </c>
      <c r="C53" s="405">
        <f>SUM('- 38 -'!C53,'- 38 -'!F53,'- 38 -'!I53)</f>
        <v>212337</v>
      </c>
      <c r="D53" s="351">
        <f>C53/'- 3 -'!E53</f>
        <v>0.023056961511248055</v>
      </c>
      <c r="E53" s="405">
        <f>C53/'- 7 -'!H53</f>
        <v>146.79363982025578</v>
      </c>
    </row>
    <row r="54" spans="1:5" ht="12.75">
      <c r="A54" s="13">
        <v>48</v>
      </c>
      <c r="B54" s="14" t="s">
        <v>159</v>
      </c>
      <c r="C54" s="406">
        <f>SUM('- 38 -'!C54,'- 38 -'!F54,'- 38 -'!I54)</f>
        <v>1201739</v>
      </c>
      <c r="D54" s="352">
        <f>C54/'- 3 -'!E54</f>
        <v>0.020233238210286816</v>
      </c>
      <c r="E54" s="406">
        <f>C54/'- 7 -'!H54</f>
        <v>229.87910553398245</v>
      </c>
    </row>
    <row r="55" spans="1:5" ht="12.75">
      <c r="A55" s="11">
        <v>49</v>
      </c>
      <c r="B55" s="12" t="s">
        <v>160</v>
      </c>
      <c r="C55" s="405">
        <f>SUM('- 38 -'!C55,'- 38 -'!F55,'- 38 -'!I55)</f>
        <v>782159</v>
      </c>
      <c r="D55" s="351">
        <f>C55/'- 3 -'!E55</f>
        <v>0.021592606979625333</v>
      </c>
      <c r="E55" s="405">
        <f>C55/'- 7 -'!H55</f>
        <v>183.57092564776568</v>
      </c>
    </row>
    <row r="56" spans="1:5" ht="12.75">
      <c r="A56" s="13">
        <v>50</v>
      </c>
      <c r="B56" s="14" t="s">
        <v>343</v>
      </c>
      <c r="C56" s="406">
        <f>SUM('- 38 -'!C56,'- 38 -'!F56,'- 38 -'!I56)</f>
        <v>314716</v>
      </c>
      <c r="D56" s="352">
        <f>C56/'- 3 -'!E56</f>
        <v>0.021833689717070025</v>
      </c>
      <c r="E56" s="406">
        <f>C56/'- 7 -'!H56</f>
        <v>178.5825341882767</v>
      </c>
    </row>
    <row r="57" spans="1:5" ht="12.75">
      <c r="A57" s="11">
        <v>2264</v>
      </c>
      <c r="B57" s="12" t="s">
        <v>161</v>
      </c>
      <c r="C57" s="405">
        <f>SUM('- 38 -'!C57,'- 38 -'!F57,'- 38 -'!I57)</f>
        <v>49665</v>
      </c>
      <c r="D57" s="351">
        <f>C57/'- 3 -'!E57</f>
        <v>0.023591129011583847</v>
      </c>
      <c r="E57" s="405">
        <f>C57/'- 7 -'!H57</f>
        <v>252.74809160305344</v>
      </c>
    </row>
    <row r="58" spans="1:5" ht="12.75">
      <c r="A58" s="13">
        <v>2309</v>
      </c>
      <c r="B58" s="14" t="s">
        <v>162</v>
      </c>
      <c r="C58" s="406">
        <f>SUM('- 38 -'!C58,'- 38 -'!F58,'- 38 -'!I58)</f>
        <v>24617</v>
      </c>
      <c r="D58" s="352">
        <f>C58/'- 3 -'!E58</f>
        <v>0.010867597809263219</v>
      </c>
      <c r="E58" s="406">
        <f>C58/'- 7 -'!H58</f>
        <v>94.42654392021481</v>
      </c>
    </row>
    <row r="59" spans="1:5" ht="12.75">
      <c r="A59" s="11">
        <v>2312</v>
      </c>
      <c r="B59" s="12" t="s">
        <v>163</v>
      </c>
      <c r="C59" s="405">
        <f>SUM('- 38 -'!C59,'- 38 -'!F59,'- 38 -'!I59)</f>
        <v>91499</v>
      </c>
      <c r="D59" s="351">
        <f>C59/'- 3 -'!E59</f>
        <v>0.045422616142927426</v>
      </c>
      <c r="E59" s="405">
        <f>C59/'- 7 -'!H59</f>
        <v>525.8563218390805</v>
      </c>
    </row>
    <row r="60" spans="1:5" ht="12.75">
      <c r="A60" s="13">
        <v>2355</v>
      </c>
      <c r="B60" s="14" t="s">
        <v>164</v>
      </c>
      <c r="C60" s="406">
        <f>SUM('- 38 -'!C60,'- 38 -'!F60,'- 38 -'!I60)</f>
        <v>238576</v>
      </c>
      <c r="D60" s="352">
        <f>C60/'- 3 -'!E60</f>
        <v>0.009590954555989304</v>
      </c>
      <c r="E60" s="406">
        <f>C60/'- 7 -'!H60</f>
        <v>71.83211393129196</v>
      </c>
    </row>
    <row r="61" spans="1:5" ht="12.75">
      <c r="A61" s="11">
        <v>2439</v>
      </c>
      <c r="B61" s="12" t="s">
        <v>165</v>
      </c>
      <c r="C61" s="405">
        <f>SUM('- 38 -'!C61,'- 38 -'!F61,'- 38 -'!I61)</f>
        <v>23064.16</v>
      </c>
      <c r="D61" s="351">
        <f>C61/'- 3 -'!E61</f>
        <v>0.016507624542181236</v>
      </c>
      <c r="E61" s="405">
        <f>C61/'- 7 -'!H61</f>
        <v>147.37482428115015</v>
      </c>
    </row>
    <row r="62" spans="1:5" ht="12.75">
      <c r="A62" s="13">
        <v>2460</v>
      </c>
      <c r="B62" s="14" t="s">
        <v>166</v>
      </c>
      <c r="C62" s="406">
        <f>SUM('- 38 -'!C62,'- 38 -'!F62,'- 38 -'!I62)</f>
        <v>61810</v>
      </c>
      <c r="D62" s="352">
        <f>C62/'- 3 -'!E62</f>
        <v>0.01870470592365115</v>
      </c>
      <c r="E62" s="406">
        <f>C62/'- 7 -'!H62</f>
        <v>227.07567964731817</v>
      </c>
    </row>
    <row r="63" spans="1:5" ht="12.75">
      <c r="A63" s="11">
        <v>3000</v>
      </c>
      <c r="B63" s="12" t="s">
        <v>366</v>
      </c>
      <c r="C63" s="405">
        <f>SUM('- 38 -'!C63,'- 38 -'!F63,'- 38 -'!I63)</f>
        <v>419261</v>
      </c>
      <c r="D63" s="351">
        <f>C63/'- 3 -'!E63</f>
        <v>0.07270140404966975</v>
      </c>
      <c r="E63" s="405">
        <f>C63/'- 7 -'!H63</f>
        <v>624.4578492701818</v>
      </c>
    </row>
    <row r="64" spans="1:5" ht="4.5" customHeight="1">
      <c r="A64" s="15"/>
      <c r="B64" s="15"/>
      <c r="C64" s="412"/>
      <c r="D64" s="194"/>
      <c r="E64" s="412"/>
    </row>
    <row r="65" spans="1:5" ht="12.75">
      <c r="A65" s="17"/>
      <c r="B65" s="18" t="s">
        <v>167</v>
      </c>
      <c r="C65" s="407">
        <f>SUM(C11:C63)</f>
        <v>29506341.87</v>
      </c>
      <c r="D65" s="100">
        <f>C65/'- 3 -'!E65</f>
        <v>0.022739835744205034</v>
      </c>
      <c r="E65" s="407">
        <f>C65/'- 7 -'!H65</f>
        <v>162.81023717235894</v>
      </c>
    </row>
    <row r="66" spans="1:5" ht="4.5" customHeight="1">
      <c r="A66" s="15"/>
      <c r="B66" s="15"/>
      <c r="C66" s="412"/>
      <c r="D66" s="194"/>
      <c r="E66" s="412"/>
    </row>
    <row r="67" spans="1:5" ht="12.75">
      <c r="A67" s="13">
        <v>2155</v>
      </c>
      <c r="B67" s="14" t="s">
        <v>168</v>
      </c>
      <c r="C67" s="406">
        <f>SUM('- 38 -'!C67,'- 38 -'!F67,'- 38 -'!I67)</f>
        <v>4675</v>
      </c>
      <c r="D67" s="352">
        <f>C67/'- 3 -'!E67</f>
        <v>0.003906911152001684</v>
      </c>
      <c r="E67" s="406">
        <f>C67/'- 7 -'!H67</f>
        <v>32.02054794520548</v>
      </c>
    </row>
    <row r="68" spans="1:5" ht="12.75">
      <c r="A68" s="11">
        <v>2408</v>
      </c>
      <c r="B68" s="12" t="s">
        <v>170</v>
      </c>
      <c r="C68" s="405">
        <f>SUM('- 38 -'!C68,'- 38 -'!F68,'- 38 -'!I68)</f>
        <v>42550</v>
      </c>
      <c r="D68" s="351">
        <f>C68/'- 3 -'!E68</f>
        <v>0.019846785613669142</v>
      </c>
      <c r="E68" s="405">
        <f>C68/'- 7 -'!H68</f>
        <v>164.92248062015503</v>
      </c>
    </row>
    <row r="69" ht="6.75" customHeight="1"/>
    <row r="70" spans="1:2" ht="12" customHeight="1">
      <c r="A70" s="380" t="s">
        <v>354</v>
      </c>
      <c r="B70" s="4" t="s">
        <v>472</v>
      </c>
    </row>
    <row r="71" spans="1:2" ht="12" customHeight="1">
      <c r="A71" s="52"/>
      <c r="B71" s="381" t="s">
        <v>469</v>
      </c>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79" customWidth="1"/>
    <col min="2" max="2" width="31.83203125" style="79" customWidth="1"/>
    <col min="3" max="3" width="15.83203125" style="79" customWidth="1"/>
    <col min="4" max="4" width="13.83203125" style="79" customWidth="1"/>
    <col min="5" max="6" width="14.83203125" style="79" customWidth="1"/>
    <col min="7" max="7" width="12.83203125" style="79" customWidth="1"/>
    <col min="8" max="8" width="16.83203125" style="79" customWidth="1"/>
    <col min="9" max="9" width="11.83203125" style="79" customWidth="1"/>
    <col min="10" max="11" width="14.83203125" style="79" customWidth="1"/>
    <col min="12" max="12" width="19.5" style="79" customWidth="1"/>
    <col min="13" max="16384" width="14.83203125" style="79" customWidth="1"/>
  </cols>
  <sheetData>
    <row r="1" spans="1:2" ht="6.75" customHeight="1">
      <c r="A1" s="15"/>
      <c r="B1" s="77"/>
    </row>
    <row r="2" spans="1:9" ht="12.75">
      <c r="A2" s="9"/>
      <c r="B2" s="104" t="str">
        <f>"  SUMMARY"&amp;REPLACE(REVYEAR,1,8,"")</f>
        <v>  SUMMARY OF OPERATING FUND REVENUE: 2001/2002 ACTUAL</v>
      </c>
      <c r="C2" s="104"/>
      <c r="D2" s="104"/>
      <c r="E2" s="104"/>
      <c r="F2" s="104"/>
      <c r="G2" s="104"/>
      <c r="H2" s="104"/>
      <c r="I2" s="104"/>
    </row>
    <row r="3" spans="1:2" ht="12.75">
      <c r="A3" s="10"/>
      <c r="B3" s="106"/>
    </row>
    <row r="4" spans="1:9" ht="12.75">
      <c r="A4" s="8"/>
      <c r="C4" s="139"/>
      <c r="D4" s="178"/>
      <c r="E4" s="178"/>
      <c r="F4" s="139"/>
      <c r="G4" s="139"/>
      <c r="H4" s="139"/>
      <c r="I4" s="139"/>
    </row>
    <row r="5" spans="1:9" ht="12.75">
      <c r="A5" s="8"/>
      <c r="C5" s="54"/>
      <c r="D5" s="139"/>
      <c r="E5" s="139"/>
      <c r="F5" s="139"/>
      <c r="G5" s="139"/>
      <c r="H5" s="139"/>
      <c r="I5" s="139"/>
    </row>
    <row r="6" spans="1:9" ht="12.75">
      <c r="A6" s="8"/>
      <c r="C6" s="151" t="s">
        <v>179</v>
      </c>
      <c r="D6" s="124"/>
      <c r="E6" s="124"/>
      <c r="F6" s="124"/>
      <c r="G6" s="124"/>
      <c r="H6" s="124"/>
      <c r="I6" s="125"/>
    </row>
    <row r="7" spans="1:9" ht="12.75">
      <c r="A7" s="15"/>
      <c r="C7" s="64" t="s">
        <v>194</v>
      </c>
      <c r="D7" s="62"/>
      <c r="E7" s="62"/>
      <c r="F7" s="140" t="s">
        <v>58</v>
      </c>
      <c r="G7" s="140" t="s">
        <v>3</v>
      </c>
      <c r="H7" s="140" t="s">
        <v>178</v>
      </c>
      <c r="I7" s="140" t="s">
        <v>3</v>
      </c>
    </row>
    <row r="8" spans="1:9" ht="12.75">
      <c r="A8" s="91"/>
      <c r="B8" s="43"/>
      <c r="C8" s="174"/>
      <c r="D8" s="128"/>
      <c r="E8" s="128"/>
      <c r="F8" s="142" t="s">
        <v>218</v>
      </c>
      <c r="G8" s="142" t="s">
        <v>219</v>
      </c>
      <c r="H8" s="142" t="s">
        <v>220</v>
      </c>
      <c r="I8" s="142" t="s">
        <v>3</v>
      </c>
    </row>
    <row r="9" spans="1:11" ht="12.75">
      <c r="A9" s="49" t="s">
        <v>101</v>
      </c>
      <c r="B9" s="50" t="s">
        <v>102</v>
      </c>
      <c r="C9" s="144" t="s">
        <v>211</v>
      </c>
      <c r="D9" s="144" t="s">
        <v>188</v>
      </c>
      <c r="E9" s="144" t="s">
        <v>189</v>
      </c>
      <c r="F9" s="144" t="s">
        <v>214</v>
      </c>
      <c r="G9" s="144" t="s">
        <v>237</v>
      </c>
      <c r="H9" s="144" t="s">
        <v>238</v>
      </c>
      <c r="I9" s="144" t="s">
        <v>58</v>
      </c>
      <c r="K9" s="101" t="s">
        <v>308</v>
      </c>
    </row>
    <row r="10" spans="1:9" ht="4.5" customHeight="1">
      <c r="A10" s="74"/>
      <c r="B10" s="74"/>
      <c r="C10" s="145"/>
      <c r="D10" s="145"/>
      <c r="E10" s="145"/>
      <c r="F10" s="145"/>
      <c r="G10" s="145"/>
      <c r="H10" s="145"/>
      <c r="I10" s="145"/>
    </row>
    <row r="11" spans="1:13" ht="12.75">
      <c r="A11" s="11">
        <v>1</v>
      </c>
      <c r="B11" s="12" t="s">
        <v>116</v>
      </c>
      <c r="C11" s="351">
        <f>'- 42 -'!H11</f>
        <v>0.5570210804234378</v>
      </c>
      <c r="D11" s="351">
        <f>'- 43 -'!D11</f>
        <v>4.9053948612922954E-05</v>
      </c>
      <c r="E11" s="351">
        <f>'- 43 -'!F11</f>
        <v>0.41825035806827593</v>
      </c>
      <c r="F11" s="351">
        <f>'- 43 -'!H11</f>
        <v>0.009666820471234714</v>
      </c>
      <c r="G11" s="351">
        <f>'- 43 -'!J11</f>
        <v>0.005958108949841827</v>
      </c>
      <c r="H11" s="351">
        <f>'- 44 -'!D11</f>
        <v>0.003997361306347529</v>
      </c>
      <c r="I11" s="351">
        <f>'- 44 -'!F11</f>
        <v>0.005057216832249292</v>
      </c>
      <c r="K11" s="194">
        <f>SUM(C11:I11)</f>
        <v>0.9999999999999999</v>
      </c>
      <c r="L11" s="79" t="s">
        <v>211</v>
      </c>
      <c r="M11" s="98">
        <f>C65</f>
        <v>0.5905280324815327</v>
      </c>
    </row>
    <row r="12" spans="1:13" ht="12.75">
      <c r="A12" s="13">
        <v>2</v>
      </c>
      <c r="B12" s="14" t="s">
        <v>117</v>
      </c>
      <c r="C12" s="352">
        <f>'- 42 -'!H12</f>
        <v>0.5449560626829348</v>
      </c>
      <c r="D12" s="352">
        <f>'- 43 -'!D12</f>
        <v>0.0002788190984921629</v>
      </c>
      <c r="E12" s="352">
        <f>'- 43 -'!F12</f>
        <v>0.41849221299736494</v>
      </c>
      <c r="F12" s="352">
        <f>'- 43 -'!H12</f>
        <v>0.012311610965553535</v>
      </c>
      <c r="G12" s="352">
        <f>'- 43 -'!J12</f>
        <v>0.0006589460934587913</v>
      </c>
      <c r="H12" s="352">
        <f>'- 44 -'!D12</f>
        <v>0.016505362531707726</v>
      </c>
      <c r="I12" s="352">
        <f>'- 44 -'!F12</f>
        <v>0.006796985630487964</v>
      </c>
      <c r="K12" s="194">
        <f aca="true" t="shared" si="0" ref="K12:K63">SUM(C12:I12)</f>
        <v>1</v>
      </c>
      <c r="L12" s="79" t="s">
        <v>188</v>
      </c>
      <c r="M12" s="98">
        <f>D65</f>
        <v>0.010990445603516735</v>
      </c>
    </row>
    <row r="13" spans="1:13" ht="12.75">
      <c r="A13" s="11">
        <v>3</v>
      </c>
      <c r="B13" s="12" t="s">
        <v>118</v>
      </c>
      <c r="C13" s="351">
        <f>'- 42 -'!H13</f>
        <v>0.49625230878069676</v>
      </c>
      <c r="D13" s="351">
        <f>'- 43 -'!D13</f>
        <v>0.0005690900476766431</v>
      </c>
      <c r="E13" s="351">
        <f>'- 43 -'!F13</f>
        <v>0.49053768517432295</v>
      </c>
      <c r="F13" s="351">
        <f>'- 43 -'!H13</f>
        <v>0.007300340320884706</v>
      </c>
      <c r="G13" s="351">
        <f>'- 43 -'!J13</f>
        <v>0.00030636853599111315</v>
      </c>
      <c r="H13" s="351">
        <f>'- 44 -'!D13</f>
        <v>0.0031644313507298385</v>
      </c>
      <c r="I13" s="351">
        <f>'- 44 -'!F13</f>
        <v>0.0018697757896980343</v>
      </c>
      <c r="K13" s="194">
        <f t="shared" si="0"/>
        <v>1</v>
      </c>
      <c r="L13" s="79" t="s">
        <v>189</v>
      </c>
      <c r="M13" s="98">
        <f>E65</f>
        <v>0.3525073783638112</v>
      </c>
    </row>
    <row r="14" spans="1:13" ht="12.75">
      <c r="A14" s="13">
        <v>4</v>
      </c>
      <c r="B14" s="14" t="s">
        <v>119</v>
      </c>
      <c r="C14" s="352">
        <f>'- 42 -'!H14</f>
        <v>0.5508944013455799</v>
      </c>
      <c r="D14" s="352">
        <f>'- 43 -'!D14</f>
        <v>0.0003159040182944205</v>
      </c>
      <c r="E14" s="352">
        <f>'- 43 -'!F14</f>
        <v>0.4132639709930432</v>
      </c>
      <c r="F14" s="352">
        <f>'- 43 -'!H14</f>
        <v>0.010059519460837121</v>
      </c>
      <c r="G14" s="352">
        <f>'- 43 -'!J14</f>
        <v>0.00011660178023938134</v>
      </c>
      <c r="H14" s="352">
        <f>'- 44 -'!D14</f>
        <v>0.020379973529284386</v>
      </c>
      <c r="I14" s="352">
        <f>'- 44 -'!F14</f>
        <v>0.004969628872721673</v>
      </c>
      <c r="K14" s="194">
        <f t="shared" si="0"/>
        <v>1</v>
      </c>
      <c r="L14" s="79" t="s">
        <v>246</v>
      </c>
      <c r="M14" s="98">
        <f>F65</f>
        <v>0.010253907036895332</v>
      </c>
    </row>
    <row r="15" spans="1:13" ht="12.75">
      <c r="A15" s="11">
        <v>5</v>
      </c>
      <c r="B15" s="12" t="s">
        <v>120</v>
      </c>
      <c r="C15" s="351">
        <f>'- 42 -'!H15</f>
        <v>0.4682935551126371</v>
      </c>
      <c r="D15" s="351">
        <f>'- 43 -'!D15</f>
        <v>0</v>
      </c>
      <c r="E15" s="351">
        <f>'- 43 -'!F15</f>
        <v>0.49936316906249295</v>
      </c>
      <c r="F15" s="351">
        <f>'- 43 -'!H15</f>
        <v>0.009900101773296895</v>
      </c>
      <c r="G15" s="351">
        <f>'- 43 -'!J15</f>
        <v>0.0004975448772983903</v>
      </c>
      <c r="H15" s="351">
        <f>'- 44 -'!D15</f>
        <v>0.018726222258370586</v>
      </c>
      <c r="I15" s="351">
        <f>'- 44 -'!F15</f>
        <v>0.0032194069159040863</v>
      </c>
      <c r="K15" s="194">
        <f t="shared" si="0"/>
        <v>1</v>
      </c>
      <c r="L15" s="79" t="s">
        <v>215</v>
      </c>
      <c r="M15" s="98">
        <f>G65</f>
        <v>0.019360894603650543</v>
      </c>
    </row>
    <row r="16" spans="1:13" ht="12.75">
      <c r="A16" s="13">
        <v>6</v>
      </c>
      <c r="B16" s="14" t="s">
        <v>121</v>
      </c>
      <c r="C16" s="352">
        <f>'- 42 -'!H16</f>
        <v>0.6148881327623036</v>
      </c>
      <c r="D16" s="352">
        <f>'- 43 -'!D16</f>
        <v>0.00022012212044866648</v>
      </c>
      <c r="E16" s="352">
        <f>'- 43 -'!F16</f>
        <v>0.3622640824127569</v>
      </c>
      <c r="F16" s="352">
        <f>'- 43 -'!H16</f>
        <v>0.006467291434416525</v>
      </c>
      <c r="G16" s="352">
        <f>'- 43 -'!J16</f>
        <v>0</v>
      </c>
      <c r="H16" s="352">
        <f>'- 44 -'!D16</f>
        <v>0.005945776746278422</v>
      </c>
      <c r="I16" s="352">
        <f>'- 44 -'!F16</f>
        <v>0.010214594523795889</v>
      </c>
      <c r="K16" s="194">
        <f t="shared" si="0"/>
        <v>1</v>
      </c>
      <c r="L16" s="79" t="s">
        <v>178</v>
      </c>
      <c r="M16" s="98">
        <f>H65</f>
        <v>0.010965545044721912</v>
      </c>
    </row>
    <row r="17" spans="1:13" ht="12.75">
      <c r="A17" s="11">
        <v>9</v>
      </c>
      <c r="B17" s="12" t="s">
        <v>122</v>
      </c>
      <c r="C17" s="351">
        <f>'- 42 -'!H17</f>
        <v>0.6212220825926001</v>
      </c>
      <c r="D17" s="351">
        <f>'- 43 -'!D17</f>
        <v>0.00029161741224986655</v>
      </c>
      <c r="E17" s="351">
        <f>'- 43 -'!F17</f>
        <v>0.3542820785238237</v>
      </c>
      <c r="F17" s="351">
        <f>'- 43 -'!H17</f>
        <v>0.009161265129463848</v>
      </c>
      <c r="G17" s="351">
        <f>'- 43 -'!J17</f>
        <v>0.0002505734665553877</v>
      </c>
      <c r="H17" s="351">
        <f>'- 44 -'!D17</f>
        <v>0.01295086676395558</v>
      </c>
      <c r="I17" s="351">
        <f>'- 44 -'!F17</f>
        <v>0.0018415161113515004</v>
      </c>
      <c r="K17" s="194">
        <f t="shared" si="0"/>
        <v>1</v>
      </c>
      <c r="L17" s="362" t="s">
        <v>58</v>
      </c>
      <c r="M17" s="98">
        <f>I65</f>
        <v>0.005393796865871658</v>
      </c>
    </row>
    <row r="18" spans="1:11" ht="12.75">
      <c r="A18" s="13">
        <v>10</v>
      </c>
      <c r="B18" s="14" t="s">
        <v>123</v>
      </c>
      <c r="C18" s="352">
        <f>'- 42 -'!H18</f>
        <v>0.5951160234476363</v>
      </c>
      <c r="D18" s="352">
        <f>'- 43 -'!D18</f>
        <v>0.00017525822382247005</v>
      </c>
      <c r="E18" s="352">
        <f>'- 43 -'!F18</f>
        <v>0.3800391499135555</v>
      </c>
      <c r="F18" s="352">
        <f>'- 43 -'!H18</f>
        <v>0.012842998229823535</v>
      </c>
      <c r="G18" s="352">
        <f>'- 43 -'!J18</f>
        <v>0.0013259466867737793</v>
      </c>
      <c r="H18" s="352">
        <f>'- 44 -'!D18</f>
        <v>0.008968496177957192</v>
      </c>
      <c r="I18" s="352">
        <f>'- 44 -'!F18</f>
        <v>0.0015321273204312602</v>
      </c>
      <c r="K18" s="194">
        <f t="shared" si="0"/>
        <v>0.9999999999999999</v>
      </c>
    </row>
    <row r="19" spans="1:13" ht="12.75">
      <c r="A19" s="11">
        <v>11</v>
      </c>
      <c r="B19" s="12" t="s">
        <v>124</v>
      </c>
      <c r="C19" s="351">
        <f>'- 42 -'!H19</f>
        <v>0.5873591797596082</v>
      </c>
      <c r="D19" s="351">
        <f>'- 43 -'!D19</f>
        <v>0.00012065638512391006</v>
      </c>
      <c r="E19" s="351">
        <f>'- 43 -'!F19</f>
        <v>0.3796976401949256</v>
      </c>
      <c r="F19" s="351">
        <f>'- 43 -'!H19</f>
        <v>0.00717706146155321</v>
      </c>
      <c r="G19" s="351">
        <f>'- 43 -'!J19</f>
        <v>0.006474616474569711</v>
      </c>
      <c r="H19" s="351">
        <f>'- 44 -'!D19</f>
        <v>0.016201019952639145</v>
      </c>
      <c r="I19" s="351">
        <f>'- 44 -'!F19</f>
        <v>0.002969825771580346</v>
      </c>
      <c r="K19" s="194">
        <f t="shared" si="0"/>
        <v>1</v>
      </c>
      <c r="M19" s="98">
        <f>SUM(M11:M17)</f>
        <v>1</v>
      </c>
    </row>
    <row r="20" spans="1:11" ht="12.75">
      <c r="A20" s="13">
        <v>12</v>
      </c>
      <c r="B20" s="14" t="s">
        <v>125</v>
      </c>
      <c r="C20" s="352">
        <f>'- 42 -'!H20</f>
        <v>0.6173000241117291</v>
      </c>
      <c r="D20" s="352">
        <f>'- 43 -'!D20</f>
        <v>0.0001388987059528738</v>
      </c>
      <c r="E20" s="352">
        <f>'- 43 -'!F20</f>
        <v>0.3675354615300116</v>
      </c>
      <c r="F20" s="352">
        <f>'- 43 -'!H20</f>
        <v>0.0025738811836411098</v>
      </c>
      <c r="G20" s="352">
        <f>'- 43 -'!J20</f>
        <v>0</v>
      </c>
      <c r="H20" s="352">
        <f>'- 44 -'!D20</f>
        <v>0.007286473503565812</v>
      </c>
      <c r="I20" s="352">
        <f>'- 44 -'!F20</f>
        <v>0.0051652609650994965</v>
      </c>
      <c r="K20" s="194">
        <f t="shared" si="0"/>
        <v>1</v>
      </c>
    </row>
    <row r="21" spans="1:11" ht="12.75">
      <c r="A21" s="11">
        <v>13</v>
      </c>
      <c r="B21" s="12" t="s">
        <v>126</v>
      </c>
      <c r="C21" s="351">
        <f>'- 42 -'!H21</f>
        <v>0.5744557633365451</v>
      </c>
      <c r="D21" s="351">
        <f>'- 43 -'!D21</f>
        <v>0.0007327090963428606</v>
      </c>
      <c r="E21" s="351">
        <f>'- 43 -'!F21</f>
        <v>0.3814806749623096</v>
      </c>
      <c r="F21" s="351">
        <f>'- 43 -'!H21</f>
        <v>0.00970899991555619</v>
      </c>
      <c r="G21" s="351">
        <f>'- 43 -'!J21</f>
        <v>0.01568936994820258</v>
      </c>
      <c r="H21" s="351">
        <f>'- 44 -'!D21</f>
        <v>0.011905894725028263</v>
      </c>
      <c r="I21" s="351">
        <f>'- 44 -'!F21</f>
        <v>0.00602658801601537</v>
      </c>
      <c r="K21" s="194">
        <f t="shared" si="0"/>
        <v>1</v>
      </c>
    </row>
    <row r="22" spans="1:11" ht="12.75">
      <c r="A22" s="13">
        <v>14</v>
      </c>
      <c r="B22" s="14" t="s">
        <v>127</v>
      </c>
      <c r="C22" s="352">
        <f>'- 42 -'!H22</f>
        <v>0.665151970738245</v>
      </c>
      <c r="D22" s="352">
        <f>'- 43 -'!D22</f>
        <v>0.0008001565276807646</v>
      </c>
      <c r="E22" s="352">
        <f>'- 43 -'!F22</f>
        <v>0.32372442612430774</v>
      </c>
      <c r="F22" s="352">
        <f>'- 43 -'!H22</f>
        <v>0.00589707899477599</v>
      </c>
      <c r="G22" s="352">
        <f>'- 43 -'!J22</f>
        <v>0</v>
      </c>
      <c r="H22" s="352">
        <f>'- 44 -'!D22</f>
        <v>0.0006115122865105378</v>
      </c>
      <c r="I22" s="352">
        <f>'- 44 -'!F22</f>
        <v>0.003814855328480029</v>
      </c>
      <c r="K22" s="194">
        <f t="shared" si="0"/>
        <v>1</v>
      </c>
    </row>
    <row r="23" spans="1:11" ht="12.75">
      <c r="A23" s="11">
        <v>15</v>
      </c>
      <c r="B23" s="12" t="s">
        <v>128</v>
      </c>
      <c r="C23" s="351">
        <f>'- 42 -'!H23</f>
        <v>0.7527606319898603</v>
      </c>
      <c r="D23" s="351">
        <f>'- 43 -'!D23</f>
        <v>0</v>
      </c>
      <c r="E23" s="351">
        <f>'- 43 -'!F23</f>
        <v>0.22562680858738748</v>
      </c>
      <c r="F23" s="351">
        <f>'- 43 -'!H23</f>
        <v>0.007656828272578885</v>
      </c>
      <c r="G23" s="351">
        <f>'- 43 -'!J23</f>
        <v>0</v>
      </c>
      <c r="H23" s="351">
        <f>'- 44 -'!D23</f>
        <v>0.010971100478137784</v>
      </c>
      <c r="I23" s="351">
        <f>'- 44 -'!F23</f>
        <v>0.002984630672035591</v>
      </c>
      <c r="K23" s="194">
        <f t="shared" si="0"/>
        <v>1</v>
      </c>
    </row>
    <row r="24" spans="1:11" ht="12.75">
      <c r="A24" s="13">
        <v>16</v>
      </c>
      <c r="B24" s="14" t="s">
        <v>129</v>
      </c>
      <c r="C24" s="352">
        <f>'- 42 -'!H24</f>
        <v>0.5947536028803931</v>
      </c>
      <c r="D24" s="352">
        <f>'- 43 -'!D24</f>
        <v>0</v>
      </c>
      <c r="E24" s="352">
        <f>'- 43 -'!F24</f>
        <v>0.3531936892848745</v>
      </c>
      <c r="F24" s="352">
        <f>'- 43 -'!H24</f>
        <v>0.019380428814679843</v>
      </c>
      <c r="G24" s="352">
        <f>'- 43 -'!J24</f>
        <v>0.021937456147103226</v>
      </c>
      <c r="H24" s="352">
        <f>'- 44 -'!D24</f>
        <v>0.004947688920025183</v>
      </c>
      <c r="I24" s="352">
        <f>'- 44 -'!F24</f>
        <v>0.005787133952923962</v>
      </c>
      <c r="K24" s="194">
        <f t="shared" si="0"/>
        <v>0.9999999999999998</v>
      </c>
    </row>
    <row r="25" spans="1:11" ht="12.75">
      <c r="A25" s="11">
        <v>17</v>
      </c>
      <c r="B25" s="12" t="s">
        <v>130</v>
      </c>
      <c r="C25" s="351">
        <f>'- 42 -'!H25</f>
        <v>0.6161530747019706</v>
      </c>
      <c r="D25" s="351">
        <f>'- 43 -'!D25</f>
        <v>0.003781598471168048</v>
      </c>
      <c r="E25" s="351">
        <f>'- 43 -'!F25</f>
        <v>0.34108752019012534</v>
      </c>
      <c r="F25" s="351">
        <f>'- 43 -'!H25</f>
        <v>0.0336813667059299</v>
      </c>
      <c r="G25" s="351">
        <f>'- 43 -'!J25</f>
        <v>-0.0060657885461341664</v>
      </c>
      <c r="H25" s="351">
        <f>'- 44 -'!D25</f>
        <v>0.0011292496223195621</v>
      </c>
      <c r="I25" s="351">
        <f>'- 44 -'!F25</f>
        <v>0.010232978854620756</v>
      </c>
      <c r="K25" s="194">
        <f t="shared" si="0"/>
        <v>1</v>
      </c>
    </row>
    <row r="26" spans="1:11" ht="12.75">
      <c r="A26" s="13">
        <v>18</v>
      </c>
      <c r="B26" s="14" t="s">
        <v>131</v>
      </c>
      <c r="C26" s="352">
        <f>'- 42 -'!H26</f>
        <v>0.6464246406065091</v>
      </c>
      <c r="D26" s="352">
        <f>'- 43 -'!D26</f>
        <v>0.0031670018119364985</v>
      </c>
      <c r="E26" s="352">
        <f>'- 43 -'!F26</f>
        <v>0.3137062694114908</v>
      </c>
      <c r="F26" s="352">
        <f>'- 43 -'!H26</f>
        <v>0.020824759061458697</v>
      </c>
      <c r="G26" s="352">
        <f>'- 43 -'!J26</f>
        <v>0</v>
      </c>
      <c r="H26" s="352">
        <f>'- 44 -'!D26</f>
        <v>0.008988325329764308</v>
      </c>
      <c r="I26" s="352">
        <f>'- 44 -'!F26</f>
        <v>0.006889003778840573</v>
      </c>
      <c r="K26" s="194">
        <f t="shared" si="0"/>
        <v>1</v>
      </c>
    </row>
    <row r="27" spans="1:11" ht="12.75">
      <c r="A27" s="11">
        <v>19</v>
      </c>
      <c r="B27" s="12" t="s">
        <v>132</v>
      </c>
      <c r="C27" s="351">
        <f>'- 42 -'!H27</f>
        <v>0.6488134513982232</v>
      </c>
      <c r="D27" s="351">
        <f>'- 43 -'!D27</f>
        <v>0.00010568236561026253</v>
      </c>
      <c r="E27" s="351">
        <f>'- 43 -'!F27</f>
        <v>0.3207057558183328</v>
      </c>
      <c r="F27" s="351">
        <f>'- 43 -'!H27</f>
        <v>0.018175090065598327</v>
      </c>
      <c r="G27" s="351">
        <f>'- 43 -'!J27</f>
        <v>0</v>
      </c>
      <c r="H27" s="351">
        <f>'- 44 -'!D27</f>
        <v>0.008989641800025563</v>
      </c>
      <c r="I27" s="351">
        <f>'- 44 -'!F27</f>
        <v>0.0032103785522097764</v>
      </c>
      <c r="K27" s="194">
        <f t="shared" si="0"/>
        <v>1</v>
      </c>
    </row>
    <row r="28" spans="1:11" ht="12.75">
      <c r="A28" s="13">
        <v>20</v>
      </c>
      <c r="B28" s="14" t="s">
        <v>133</v>
      </c>
      <c r="C28" s="352">
        <f>'- 42 -'!H28</f>
        <v>0.5812403901738455</v>
      </c>
      <c r="D28" s="352">
        <f>'- 43 -'!D28</f>
        <v>0.005407130898170045</v>
      </c>
      <c r="E28" s="352">
        <f>'- 43 -'!F28</f>
        <v>0.4084827423532242</v>
      </c>
      <c r="F28" s="352">
        <f>'- 43 -'!H28</f>
        <v>0.003671661901778527</v>
      </c>
      <c r="G28" s="352">
        <f>'- 43 -'!J28</f>
        <v>0</v>
      </c>
      <c r="H28" s="352">
        <f>'- 44 -'!D28</f>
        <v>0.00021510523009314795</v>
      </c>
      <c r="I28" s="352">
        <f>'- 44 -'!F28</f>
        <v>0.0009829694428885166</v>
      </c>
      <c r="K28" s="194">
        <f t="shared" si="0"/>
        <v>0.9999999999999999</v>
      </c>
    </row>
    <row r="29" spans="1:11" ht="12.75">
      <c r="A29" s="11">
        <v>21</v>
      </c>
      <c r="B29" s="12" t="s">
        <v>134</v>
      </c>
      <c r="C29" s="351">
        <f>'- 42 -'!H29</f>
        <v>0.6498970040029527</v>
      </c>
      <c r="D29" s="351">
        <f>'- 43 -'!D29</f>
        <v>0</v>
      </c>
      <c r="E29" s="351">
        <f>'- 43 -'!F29</f>
        <v>0.3391721968340056</v>
      </c>
      <c r="F29" s="351">
        <f>'- 43 -'!H29</f>
        <v>0.001560064915862613</v>
      </c>
      <c r="G29" s="351">
        <f>'- 43 -'!J29</f>
        <v>0.00028537100711121144</v>
      </c>
      <c r="H29" s="351">
        <f>'- 44 -'!D29</f>
        <v>0.006298046126486046</v>
      </c>
      <c r="I29" s="351">
        <f>'- 44 -'!F29</f>
        <v>0.002787317113581858</v>
      </c>
      <c r="K29" s="194">
        <f t="shared" si="0"/>
        <v>1.0000000000000002</v>
      </c>
    </row>
    <row r="30" spans="1:11" ht="12.75">
      <c r="A30" s="13">
        <v>22</v>
      </c>
      <c r="B30" s="14" t="s">
        <v>135</v>
      </c>
      <c r="C30" s="352">
        <f>'- 42 -'!H30</f>
        <v>0.5533731476491146</v>
      </c>
      <c r="D30" s="352">
        <f>'- 43 -'!D30</f>
        <v>0.005357552299266067</v>
      </c>
      <c r="E30" s="352">
        <f>'- 43 -'!F30</f>
        <v>0.41649225081454</v>
      </c>
      <c r="F30" s="352">
        <f>'- 43 -'!H30</f>
        <v>0.00394167575004349</v>
      </c>
      <c r="G30" s="352">
        <f>'- 43 -'!J30</f>
        <v>0.010271704607400133</v>
      </c>
      <c r="H30" s="352">
        <f>'- 44 -'!D30</f>
        <v>0.010502256795302457</v>
      </c>
      <c r="I30" s="352">
        <f>'- 44 -'!F30</f>
        <v>6.141208433325564E-05</v>
      </c>
      <c r="K30" s="194">
        <f t="shared" si="0"/>
        <v>1</v>
      </c>
    </row>
    <row r="31" spans="1:11" ht="12.75">
      <c r="A31" s="11">
        <v>23</v>
      </c>
      <c r="B31" s="12" t="s">
        <v>136</v>
      </c>
      <c r="C31" s="351">
        <f>'- 42 -'!H31</f>
        <v>0.7034433431793408</v>
      </c>
      <c r="D31" s="351">
        <f>'- 43 -'!D31</f>
        <v>0</v>
      </c>
      <c r="E31" s="351">
        <f>'- 43 -'!F31</f>
        <v>0.24930996620130247</v>
      </c>
      <c r="F31" s="351">
        <f>'- 43 -'!H31</f>
        <v>0.008849919618680972</v>
      </c>
      <c r="G31" s="351">
        <f>'- 43 -'!J31</f>
        <v>0.02121461138143276</v>
      </c>
      <c r="H31" s="351">
        <f>'- 44 -'!D31</f>
        <v>0.016098478555456465</v>
      </c>
      <c r="I31" s="351">
        <f>'- 44 -'!F31</f>
        <v>0.0010836810637865212</v>
      </c>
      <c r="K31" s="194">
        <f t="shared" si="0"/>
        <v>1</v>
      </c>
    </row>
    <row r="32" spans="1:11" ht="12.75">
      <c r="A32" s="13">
        <v>24</v>
      </c>
      <c r="B32" s="14" t="s">
        <v>137</v>
      </c>
      <c r="C32" s="352">
        <f>'- 42 -'!H32</f>
        <v>0.6299449659848413</v>
      </c>
      <c r="D32" s="352">
        <f>'- 43 -'!D32</f>
        <v>0.0007542978764638457</v>
      </c>
      <c r="E32" s="352">
        <f>'- 43 -'!F32</f>
        <v>0.34088215239464514</v>
      </c>
      <c r="F32" s="352">
        <f>'- 43 -'!H32</f>
        <v>0.0005356080389270481</v>
      </c>
      <c r="G32" s="352">
        <f>'- 43 -'!J32</f>
        <v>0.022044492522413996</v>
      </c>
      <c r="H32" s="352">
        <f>'- 44 -'!D32</f>
        <v>0.0035598678744971366</v>
      </c>
      <c r="I32" s="352">
        <f>'- 44 -'!F32</f>
        <v>0.0022786153082115187</v>
      </c>
      <c r="K32" s="194">
        <f t="shared" si="0"/>
        <v>1</v>
      </c>
    </row>
    <row r="33" spans="1:11" ht="12.75">
      <c r="A33" s="11">
        <v>25</v>
      </c>
      <c r="B33" s="12" t="s">
        <v>138</v>
      </c>
      <c r="C33" s="351">
        <f>'- 42 -'!H33</f>
        <v>0.6341642469720971</v>
      </c>
      <c r="D33" s="351">
        <f>'- 43 -'!D33</f>
        <v>0.0021075216953051743</v>
      </c>
      <c r="E33" s="351">
        <f>'- 43 -'!F33</f>
        <v>0.34785214166889383</v>
      </c>
      <c r="F33" s="351">
        <f>'- 43 -'!H33</f>
        <v>0.004758908142982959</v>
      </c>
      <c r="G33" s="351">
        <f>'- 43 -'!J33</f>
        <v>0</v>
      </c>
      <c r="H33" s="351">
        <f>'- 44 -'!D33</f>
        <v>0.0049963225037409015</v>
      </c>
      <c r="I33" s="351">
        <f>'- 44 -'!F33</f>
        <v>0.006120859016980025</v>
      </c>
      <c r="K33" s="194">
        <f t="shared" si="0"/>
        <v>0.9999999999999999</v>
      </c>
    </row>
    <row r="34" spans="1:11" ht="12.75">
      <c r="A34" s="13">
        <v>26</v>
      </c>
      <c r="B34" s="14" t="s">
        <v>139</v>
      </c>
      <c r="C34" s="352">
        <f>'- 42 -'!H34</f>
        <v>0.7156787814051946</v>
      </c>
      <c r="D34" s="352">
        <f>'- 43 -'!D34</f>
        <v>0.0006079356269123375</v>
      </c>
      <c r="E34" s="352">
        <f>'- 43 -'!F34</f>
        <v>0.26846437284448826</v>
      </c>
      <c r="F34" s="352">
        <f>'- 43 -'!H34</f>
        <v>0.008252422167521525</v>
      </c>
      <c r="G34" s="352">
        <f>'- 43 -'!J34</f>
        <v>0</v>
      </c>
      <c r="H34" s="352">
        <f>'- 44 -'!D34</f>
        <v>0.00018238068807370126</v>
      </c>
      <c r="I34" s="352">
        <f>'- 44 -'!F34</f>
        <v>0.006814107267809626</v>
      </c>
      <c r="K34" s="194">
        <f t="shared" si="0"/>
        <v>1.0000000000000002</v>
      </c>
    </row>
    <row r="35" spans="1:11" ht="12.75">
      <c r="A35" s="11">
        <v>28</v>
      </c>
      <c r="B35" s="12" t="s">
        <v>140</v>
      </c>
      <c r="C35" s="351">
        <f>'- 42 -'!H35</f>
        <v>0.6714018612934339</v>
      </c>
      <c r="D35" s="351">
        <f>'- 43 -'!D35</f>
        <v>0.0023434606554922533</v>
      </c>
      <c r="E35" s="351">
        <f>'- 43 -'!F35</f>
        <v>0.2804027296578174</v>
      </c>
      <c r="F35" s="351">
        <f>'- 43 -'!H35</f>
        <v>0.01086042226537907</v>
      </c>
      <c r="G35" s="351">
        <f>'- 43 -'!J35</f>
        <v>0.020482616186768252</v>
      </c>
      <c r="H35" s="351">
        <f>'- 44 -'!D35</f>
        <v>0.009347458172617394</v>
      </c>
      <c r="I35" s="351">
        <f>'- 44 -'!F35</f>
        <v>0.005161451768491809</v>
      </c>
      <c r="K35" s="194">
        <f t="shared" si="0"/>
        <v>1</v>
      </c>
    </row>
    <row r="36" spans="1:11" ht="12.75">
      <c r="A36" s="13">
        <v>30</v>
      </c>
      <c r="B36" s="14" t="s">
        <v>141</v>
      </c>
      <c r="C36" s="352">
        <f>'- 42 -'!H36</f>
        <v>0.6724730164264299</v>
      </c>
      <c r="D36" s="352">
        <f>'- 43 -'!D36</f>
        <v>0.000460963608449898</v>
      </c>
      <c r="E36" s="352">
        <f>'- 43 -'!F36</f>
        <v>0.31931622615953836</v>
      </c>
      <c r="F36" s="352">
        <f>'- 43 -'!H36</f>
        <v>0.004076620768648451</v>
      </c>
      <c r="G36" s="352">
        <f>'- 43 -'!J36</f>
        <v>0.00012026046953661131</v>
      </c>
      <c r="H36" s="352">
        <f>'- 44 -'!D36</f>
        <v>0.0017037248432091056</v>
      </c>
      <c r="I36" s="352">
        <f>'- 44 -'!F36</f>
        <v>0.0018491877241877373</v>
      </c>
      <c r="K36" s="194">
        <f t="shared" si="0"/>
        <v>1</v>
      </c>
    </row>
    <row r="37" spans="1:11" ht="12.75">
      <c r="A37" s="11">
        <v>31</v>
      </c>
      <c r="B37" s="12" t="s">
        <v>142</v>
      </c>
      <c r="C37" s="351">
        <f>'- 42 -'!H37</f>
        <v>0.645559690254193</v>
      </c>
      <c r="D37" s="351">
        <f>'- 43 -'!D37</f>
        <v>0</v>
      </c>
      <c r="E37" s="351">
        <f>'- 43 -'!F37</f>
        <v>0.3285642899169634</v>
      </c>
      <c r="F37" s="351">
        <f>'- 43 -'!H37</f>
        <v>0.005578612304035089</v>
      </c>
      <c r="G37" s="351">
        <f>'- 43 -'!J37</f>
        <v>0</v>
      </c>
      <c r="H37" s="351">
        <f>'- 44 -'!D37</f>
        <v>0.0046385227949493815</v>
      </c>
      <c r="I37" s="351">
        <f>'- 44 -'!F37</f>
        <v>0.01565888472985911</v>
      </c>
      <c r="K37" s="194">
        <f t="shared" si="0"/>
        <v>1</v>
      </c>
    </row>
    <row r="38" spans="1:11" ht="12.75">
      <c r="A38" s="13">
        <v>32</v>
      </c>
      <c r="B38" s="14" t="s">
        <v>143</v>
      </c>
      <c r="C38" s="352">
        <f>'- 42 -'!H38</f>
        <v>0.7161711009045908</v>
      </c>
      <c r="D38" s="352">
        <f>'- 43 -'!D38</f>
        <v>0.0026345416249343796</v>
      </c>
      <c r="E38" s="352">
        <f>'- 43 -'!F38</f>
        <v>0.27129102568842745</v>
      </c>
      <c r="F38" s="352">
        <f>'- 43 -'!H38</f>
        <v>0.005831617762738271</v>
      </c>
      <c r="G38" s="352">
        <f>'- 43 -'!J38</f>
        <v>0.001166084048763569</v>
      </c>
      <c r="H38" s="352">
        <f>'- 44 -'!D38</f>
        <v>0.001980845984247537</v>
      </c>
      <c r="I38" s="352">
        <f>'- 44 -'!F38</f>
        <v>0.0009247839862979885</v>
      </c>
      <c r="K38" s="194">
        <f t="shared" si="0"/>
        <v>1</v>
      </c>
    </row>
    <row r="39" spans="1:11" ht="12.75">
      <c r="A39" s="11">
        <v>33</v>
      </c>
      <c r="B39" s="12" t="s">
        <v>144</v>
      </c>
      <c r="C39" s="351">
        <f>'- 42 -'!H39</f>
        <v>0.6442717801784961</v>
      </c>
      <c r="D39" s="351">
        <f>'- 43 -'!D39</f>
        <v>0.0043407482484884834</v>
      </c>
      <c r="E39" s="351">
        <f>'- 43 -'!F39</f>
        <v>0.3081980910548251</v>
      </c>
      <c r="F39" s="351">
        <f>'- 43 -'!H39</f>
        <v>0.009116421460571468</v>
      </c>
      <c r="G39" s="351">
        <f>'- 43 -'!J39</f>
        <v>0.010691435145548267</v>
      </c>
      <c r="H39" s="351">
        <f>'- 44 -'!D39</f>
        <v>0.017826205760058646</v>
      </c>
      <c r="I39" s="351">
        <f>'- 44 -'!F39</f>
        <v>0.00555531815201203</v>
      </c>
      <c r="K39" s="194">
        <f t="shared" si="0"/>
        <v>1</v>
      </c>
    </row>
    <row r="40" spans="1:11" ht="12.75">
      <c r="A40" s="13">
        <v>34</v>
      </c>
      <c r="B40" s="14" t="s">
        <v>145</v>
      </c>
      <c r="C40" s="352">
        <f>'- 42 -'!H40</f>
        <v>0.7538764365149596</v>
      </c>
      <c r="D40" s="352">
        <f>'- 43 -'!D40</f>
        <v>0.010663609564573722</v>
      </c>
      <c r="E40" s="352">
        <f>'- 43 -'!F40</f>
        <v>0.18022621228894484</v>
      </c>
      <c r="F40" s="352">
        <f>'- 43 -'!H40</f>
        <v>0.00679109201868615</v>
      </c>
      <c r="G40" s="352">
        <f>'- 43 -'!J40</f>
        <v>0.044401084842608726</v>
      </c>
      <c r="H40" s="352">
        <f>'- 44 -'!D40</f>
        <v>0</v>
      </c>
      <c r="I40" s="352">
        <f>'- 44 -'!F40</f>
        <v>0.004041564770226973</v>
      </c>
      <c r="K40" s="194">
        <f t="shared" si="0"/>
        <v>1</v>
      </c>
    </row>
    <row r="41" spans="1:11" ht="12.75">
      <c r="A41" s="11">
        <v>35</v>
      </c>
      <c r="B41" s="12" t="s">
        <v>146</v>
      </c>
      <c r="C41" s="351">
        <f>'- 42 -'!H41</f>
        <v>0.6423344189164829</v>
      </c>
      <c r="D41" s="351">
        <f>'- 43 -'!D41</f>
        <v>0.0016012041132167645</v>
      </c>
      <c r="E41" s="351">
        <f>'- 43 -'!F41</f>
        <v>0.29161920429830795</v>
      </c>
      <c r="F41" s="351">
        <f>'- 43 -'!H41</f>
        <v>0.005983947823599565</v>
      </c>
      <c r="G41" s="351">
        <f>'- 43 -'!J41</f>
        <v>0.029181650155348314</v>
      </c>
      <c r="H41" s="351">
        <f>'- 44 -'!D41</f>
        <v>0.01588618741294543</v>
      </c>
      <c r="I41" s="351">
        <f>'- 44 -'!F41</f>
        <v>0.013393387280099072</v>
      </c>
      <c r="K41" s="194">
        <f t="shared" si="0"/>
        <v>1</v>
      </c>
    </row>
    <row r="42" spans="1:11" ht="12.75">
      <c r="A42" s="13">
        <v>36</v>
      </c>
      <c r="B42" s="14" t="s">
        <v>147</v>
      </c>
      <c r="C42" s="352">
        <f>'- 42 -'!H42</f>
        <v>0.6091439202332019</v>
      </c>
      <c r="D42" s="352">
        <f>'- 43 -'!D42</f>
        <v>0.006887281610600581</v>
      </c>
      <c r="E42" s="352">
        <f>'- 43 -'!F42</f>
        <v>0.35967610617081625</v>
      </c>
      <c r="F42" s="352">
        <f>'- 43 -'!H42</f>
        <v>0</v>
      </c>
      <c r="G42" s="352">
        <f>'- 43 -'!J42</f>
        <v>0.01762921985306626</v>
      </c>
      <c r="H42" s="352">
        <f>'- 44 -'!D42</f>
        <v>0.0014994842167172454</v>
      </c>
      <c r="I42" s="352">
        <f>'- 44 -'!F42</f>
        <v>0.005163987915597766</v>
      </c>
      <c r="K42" s="194">
        <f t="shared" si="0"/>
        <v>1</v>
      </c>
    </row>
    <row r="43" spans="1:11" ht="12.75">
      <c r="A43" s="11">
        <v>37</v>
      </c>
      <c r="B43" s="12" t="s">
        <v>148</v>
      </c>
      <c r="C43" s="351">
        <f>'- 42 -'!H43</f>
        <v>0.6129225602461532</v>
      </c>
      <c r="D43" s="351">
        <f>'- 43 -'!D43</f>
        <v>0</v>
      </c>
      <c r="E43" s="351">
        <f>'- 43 -'!F43</f>
        <v>0.33112642146407</v>
      </c>
      <c r="F43" s="351">
        <f>'- 43 -'!H43</f>
        <v>0.0010434335272178422</v>
      </c>
      <c r="G43" s="351">
        <f>'- 43 -'!J43</f>
        <v>0.04756986329878869</v>
      </c>
      <c r="H43" s="351">
        <f>'- 44 -'!D43</f>
        <v>0.001405566339605211</v>
      </c>
      <c r="I43" s="351">
        <f>'- 44 -'!F43</f>
        <v>0.005932155124165021</v>
      </c>
      <c r="K43" s="194">
        <f t="shared" si="0"/>
        <v>0.9999999999999999</v>
      </c>
    </row>
    <row r="44" spans="1:11" ht="12.75">
      <c r="A44" s="13">
        <v>38</v>
      </c>
      <c r="B44" s="14" t="s">
        <v>149</v>
      </c>
      <c r="C44" s="352">
        <f>'- 42 -'!H44</f>
        <v>0.5767101378744058</v>
      </c>
      <c r="D44" s="352">
        <f>'- 43 -'!D44</f>
        <v>0.036628905387414</v>
      </c>
      <c r="E44" s="352">
        <f>'- 43 -'!F44</f>
        <v>0.3513553755153407</v>
      </c>
      <c r="F44" s="352">
        <f>'- 43 -'!H44</f>
        <v>0.003834906600863135</v>
      </c>
      <c r="G44" s="352">
        <f>'- 43 -'!J44</f>
        <v>0.020617594154862695</v>
      </c>
      <c r="H44" s="352">
        <f>'- 44 -'!D44</f>
        <v>0.010026177056378219</v>
      </c>
      <c r="I44" s="352">
        <f>'- 44 -'!F44</f>
        <v>0.0008269034107353802</v>
      </c>
      <c r="K44" s="194">
        <f t="shared" si="0"/>
        <v>1</v>
      </c>
    </row>
    <row r="45" spans="1:11" ht="12.75">
      <c r="A45" s="11">
        <v>39</v>
      </c>
      <c r="B45" s="12" t="s">
        <v>150</v>
      </c>
      <c r="C45" s="351">
        <f>'- 42 -'!H45</f>
        <v>0.6115679801118986</v>
      </c>
      <c r="D45" s="351">
        <f>'- 43 -'!D45</f>
        <v>0.0009417584772463924</v>
      </c>
      <c r="E45" s="351">
        <f>'- 43 -'!F45</f>
        <v>0.326726583737572</v>
      </c>
      <c r="F45" s="351">
        <f>'- 43 -'!H45</f>
        <v>0.005332324263292624</v>
      </c>
      <c r="G45" s="351">
        <f>'- 43 -'!J45</f>
        <v>0.04731607573044022</v>
      </c>
      <c r="H45" s="351">
        <f>'- 44 -'!D45</f>
        <v>0.0004993748139438682</v>
      </c>
      <c r="I45" s="351">
        <f>'- 44 -'!F45</f>
        <v>0.00761590286560619</v>
      </c>
      <c r="K45" s="194">
        <f t="shared" si="0"/>
        <v>1</v>
      </c>
    </row>
    <row r="46" spans="1:11" ht="12.75">
      <c r="A46" s="13">
        <v>40</v>
      </c>
      <c r="B46" s="14" t="s">
        <v>151</v>
      </c>
      <c r="C46" s="352">
        <f>'- 42 -'!H46</f>
        <v>0.6090756112926269</v>
      </c>
      <c r="D46" s="352">
        <f>'- 43 -'!D46</f>
        <v>0.0003346677720857838</v>
      </c>
      <c r="E46" s="352">
        <f>'- 43 -'!F46</f>
        <v>0.36128559541087746</v>
      </c>
      <c r="F46" s="352">
        <f>'- 43 -'!H46</f>
        <v>0.0037264297043719205</v>
      </c>
      <c r="G46" s="352">
        <f>'- 43 -'!J46</f>
        <v>0.0094218353085339</v>
      </c>
      <c r="H46" s="352">
        <f>'- 44 -'!D46</f>
        <v>0.013311577815622097</v>
      </c>
      <c r="I46" s="352">
        <f>'- 44 -'!F46</f>
        <v>0.002844282695881993</v>
      </c>
      <c r="K46" s="194">
        <f t="shared" si="0"/>
        <v>1</v>
      </c>
    </row>
    <row r="47" spans="1:11" ht="12.75">
      <c r="A47" s="11">
        <v>41</v>
      </c>
      <c r="B47" s="12" t="s">
        <v>152</v>
      </c>
      <c r="C47" s="351">
        <f>'- 42 -'!H47</f>
        <v>0.5608390295386703</v>
      </c>
      <c r="D47" s="351">
        <f>'- 43 -'!D47</f>
        <v>0</v>
      </c>
      <c r="E47" s="351">
        <f>'- 43 -'!F47</f>
        <v>0.3776808825218627</v>
      </c>
      <c r="F47" s="351">
        <f>'- 43 -'!H47</f>
        <v>0.0014766050931260884</v>
      </c>
      <c r="G47" s="351">
        <f>'- 43 -'!J47</f>
        <v>0.05310155156478967</v>
      </c>
      <c r="H47" s="351">
        <f>'- 44 -'!D47</f>
        <v>0</v>
      </c>
      <c r="I47" s="351">
        <f>'- 44 -'!F47</f>
        <v>0.00690193128155128</v>
      </c>
      <c r="K47" s="194">
        <f t="shared" si="0"/>
        <v>1</v>
      </c>
    </row>
    <row r="48" spans="1:11" ht="12.75">
      <c r="A48" s="13">
        <v>42</v>
      </c>
      <c r="B48" s="14" t="s">
        <v>153</v>
      </c>
      <c r="C48" s="352">
        <f>'- 42 -'!H48</f>
        <v>0.5984490820406376</v>
      </c>
      <c r="D48" s="352">
        <f>'- 43 -'!D48</f>
        <v>0</v>
      </c>
      <c r="E48" s="352">
        <f>'- 43 -'!F48</f>
        <v>0.37538132532058627</v>
      </c>
      <c r="F48" s="352">
        <f>'- 43 -'!H48</f>
        <v>0.002757509756760999</v>
      </c>
      <c r="G48" s="352">
        <f>'- 43 -'!J48</f>
        <v>0</v>
      </c>
      <c r="H48" s="352">
        <f>'- 44 -'!D48</f>
        <v>0.011194926581774966</v>
      </c>
      <c r="I48" s="352">
        <f>'- 44 -'!F48</f>
        <v>0.01221715630024013</v>
      </c>
      <c r="K48" s="194">
        <f t="shared" si="0"/>
        <v>1</v>
      </c>
    </row>
    <row r="49" spans="1:11" ht="12.75">
      <c r="A49" s="11">
        <v>43</v>
      </c>
      <c r="B49" s="12" t="s">
        <v>154</v>
      </c>
      <c r="C49" s="351">
        <f>'- 42 -'!H49</f>
        <v>0.553711962939198</v>
      </c>
      <c r="D49" s="351">
        <f>'- 43 -'!D49</f>
        <v>0</v>
      </c>
      <c r="E49" s="351">
        <f>'- 43 -'!F49</f>
        <v>0.43561239977820876</v>
      </c>
      <c r="F49" s="351">
        <f>'- 43 -'!H49</f>
        <v>0.0011299602768821183</v>
      </c>
      <c r="G49" s="351">
        <f>'- 43 -'!J49</f>
        <v>0</v>
      </c>
      <c r="H49" s="351">
        <f>'- 44 -'!D49</f>
        <v>0.0005922223673386364</v>
      </c>
      <c r="I49" s="351">
        <f>'- 44 -'!F49</f>
        <v>0.00895345463837244</v>
      </c>
      <c r="K49" s="194">
        <f t="shared" si="0"/>
        <v>1</v>
      </c>
    </row>
    <row r="50" spans="1:11" ht="12.75">
      <c r="A50" s="13">
        <v>44</v>
      </c>
      <c r="B50" s="14" t="s">
        <v>155</v>
      </c>
      <c r="C50" s="352">
        <f>'- 42 -'!H50</f>
        <v>0.6327622714634923</v>
      </c>
      <c r="D50" s="352">
        <f>'- 43 -'!D50</f>
        <v>3.5924675332063577E-05</v>
      </c>
      <c r="E50" s="352">
        <f>'- 43 -'!F50</f>
        <v>0.3564564279515887</v>
      </c>
      <c r="F50" s="352">
        <f>'- 43 -'!H50</f>
        <v>0.0032210000692155768</v>
      </c>
      <c r="G50" s="352">
        <f>'- 43 -'!J50</f>
        <v>0</v>
      </c>
      <c r="H50" s="352">
        <f>'- 44 -'!D50</f>
        <v>0.0038589000960063246</v>
      </c>
      <c r="I50" s="352">
        <f>'- 44 -'!F50</f>
        <v>0.003665475744365067</v>
      </c>
      <c r="K50" s="194">
        <f t="shared" si="0"/>
        <v>1</v>
      </c>
    </row>
    <row r="51" spans="1:11" ht="12.75">
      <c r="A51" s="11">
        <v>45</v>
      </c>
      <c r="B51" s="12" t="s">
        <v>156</v>
      </c>
      <c r="C51" s="351">
        <f>'- 42 -'!H51</f>
        <v>0.7271671195877468</v>
      </c>
      <c r="D51" s="351">
        <f>'- 43 -'!D51</f>
        <v>0.0014262625958691042</v>
      </c>
      <c r="E51" s="351">
        <f>'- 43 -'!F51</f>
        <v>0.23539666204565027</v>
      </c>
      <c r="F51" s="351">
        <f>'- 43 -'!H51</f>
        <v>0.0006643166052216272</v>
      </c>
      <c r="G51" s="351">
        <f>'- 43 -'!J51</f>
        <v>0.023147142690402175</v>
      </c>
      <c r="H51" s="351">
        <f>'- 44 -'!D51</f>
        <v>0</v>
      </c>
      <c r="I51" s="351">
        <f>'- 44 -'!F51</f>
        <v>0.012198496475110048</v>
      </c>
      <c r="K51" s="194">
        <f t="shared" si="0"/>
        <v>1</v>
      </c>
    </row>
    <row r="52" spans="1:11" ht="12.75">
      <c r="A52" s="13">
        <v>46</v>
      </c>
      <c r="B52" s="14" t="s">
        <v>157</v>
      </c>
      <c r="C52" s="352">
        <f>'- 42 -'!H52</f>
        <v>0.595981517769428</v>
      </c>
      <c r="D52" s="352">
        <f>'- 43 -'!D52</f>
        <v>0.0045911562392410375</v>
      </c>
      <c r="E52" s="352">
        <f>'- 43 -'!F52</f>
        <v>0.2580346141637451</v>
      </c>
      <c r="F52" s="352">
        <f>'- 43 -'!H52</f>
        <v>0.015910696684410957</v>
      </c>
      <c r="G52" s="352">
        <f>'- 43 -'!J52</f>
        <v>0.0030740801035800563</v>
      </c>
      <c r="H52" s="352">
        <f>'- 44 -'!D52</f>
        <v>0.11751532366680514</v>
      </c>
      <c r="I52" s="352">
        <f>'- 44 -'!F52</f>
        <v>0.004892611372789654</v>
      </c>
      <c r="K52" s="194">
        <f t="shared" si="0"/>
        <v>0.9999999999999998</v>
      </c>
    </row>
    <row r="53" spans="1:11" ht="12.75">
      <c r="A53" s="11">
        <v>47</v>
      </c>
      <c r="B53" s="12" t="s">
        <v>158</v>
      </c>
      <c r="C53" s="351">
        <f>'- 42 -'!H53</f>
        <v>0.6501440953413935</v>
      </c>
      <c r="D53" s="351">
        <f>'- 43 -'!D53</f>
        <v>0.010047212455412022</v>
      </c>
      <c r="E53" s="351">
        <f>'- 43 -'!F53</f>
        <v>0.3206614481255178</v>
      </c>
      <c r="F53" s="351">
        <f>'- 43 -'!H53</f>
        <v>0.003880074181137898</v>
      </c>
      <c r="G53" s="351">
        <f>'- 43 -'!J53</f>
        <v>0</v>
      </c>
      <c r="H53" s="351">
        <f>'- 44 -'!D53</f>
        <v>0.014214192034142273</v>
      </c>
      <c r="I53" s="351">
        <f>'- 44 -'!F53</f>
        <v>0.0010529778623965173</v>
      </c>
      <c r="K53" s="194">
        <f t="shared" si="0"/>
        <v>1</v>
      </c>
    </row>
    <row r="54" spans="1:11" ht="12.75">
      <c r="A54" s="13">
        <v>48</v>
      </c>
      <c r="B54" s="14" t="s">
        <v>159</v>
      </c>
      <c r="C54" s="352">
        <f>'- 42 -'!H54</f>
        <v>0.46498127394036515</v>
      </c>
      <c r="D54" s="352">
        <f>'- 43 -'!D54</f>
        <v>0.1703512232765175</v>
      </c>
      <c r="E54" s="352">
        <f>'- 43 -'!F54</f>
        <v>0.020350029989848112</v>
      </c>
      <c r="F54" s="352">
        <f>'- 43 -'!H54</f>
        <v>0.001207248041297541</v>
      </c>
      <c r="G54" s="352">
        <f>'- 43 -'!J54</f>
        <v>0.30179822962905667</v>
      </c>
      <c r="H54" s="352">
        <f>'- 44 -'!D54</f>
        <v>0.024622702547436266</v>
      </c>
      <c r="I54" s="352">
        <f>'- 44 -'!F54</f>
        <v>0.01668929257547875</v>
      </c>
      <c r="K54" s="194">
        <f t="shared" si="0"/>
        <v>1</v>
      </c>
    </row>
    <row r="55" spans="1:11" ht="12.75">
      <c r="A55" s="11">
        <v>49</v>
      </c>
      <c r="B55" s="12" t="s">
        <v>160</v>
      </c>
      <c r="C55" s="351">
        <f>'- 42 -'!H55</f>
        <v>0.6222109046976005</v>
      </c>
      <c r="D55" s="351">
        <f>'- 43 -'!D55</f>
        <v>0.08563649366802491</v>
      </c>
      <c r="E55" s="351">
        <f>'- 43 -'!F55</f>
        <v>0.27913186861809725</v>
      </c>
      <c r="F55" s="351">
        <f>'- 43 -'!H55</f>
        <v>0.007211773140864169</v>
      </c>
      <c r="G55" s="351">
        <f>'- 43 -'!J55</f>
        <v>0</v>
      </c>
      <c r="H55" s="351">
        <f>'- 44 -'!D55</f>
        <v>0.0014727140197385662</v>
      </c>
      <c r="I55" s="351">
        <f>'- 44 -'!F55</f>
        <v>0.004336245855674517</v>
      </c>
      <c r="K55" s="194">
        <f t="shared" si="0"/>
        <v>1</v>
      </c>
    </row>
    <row r="56" spans="1:11" ht="12.75">
      <c r="A56" s="13">
        <v>50</v>
      </c>
      <c r="B56" s="14" t="s">
        <v>343</v>
      </c>
      <c r="C56" s="352">
        <f>'- 42 -'!H56</f>
        <v>0.6206101077248267</v>
      </c>
      <c r="D56" s="352">
        <f>'- 43 -'!D56</f>
        <v>9.532933200417518E-05</v>
      </c>
      <c r="E56" s="352">
        <f>'- 43 -'!F56</f>
        <v>0.3597176589207674</v>
      </c>
      <c r="F56" s="352">
        <f>'- 43 -'!H56</f>
        <v>0.0030923038659329033</v>
      </c>
      <c r="G56" s="352">
        <f>'- 43 -'!J56</f>
        <v>0.006602461266592969</v>
      </c>
      <c r="H56" s="352">
        <f>'- 44 -'!D56</f>
        <v>0.0038839663706004878</v>
      </c>
      <c r="I56" s="352">
        <f>'- 44 -'!F56</f>
        <v>0.005998172519275363</v>
      </c>
      <c r="K56" s="194">
        <f t="shared" si="0"/>
        <v>1</v>
      </c>
    </row>
    <row r="57" spans="1:11" ht="12.75">
      <c r="A57" s="11">
        <v>2264</v>
      </c>
      <c r="B57" s="12" t="s">
        <v>161</v>
      </c>
      <c r="C57" s="351">
        <f>'- 42 -'!H57</f>
        <v>0.7014532974951795</v>
      </c>
      <c r="D57" s="351">
        <f>'- 43 -'!D57</f>
        <v>0</v>
      </c>
      <c r="E57" s="351">
        <f>'- 43 -'!F57</f>
        <v>0.2519357702029268</v>
      </c>
      <c r="F57" s="351">
        <f>'- 43 -'!H57</f>
        <v>0</v>
      </c>
      <c r="G57" s="351">
        <f>'- 43 -'!J57</f>
        <v>0</v>
      </c>
      <c r="H57" s="351">
        <f>'- 44 -'!D57</f>
        <v>0.03930021946186577</v>
      </c>
      <c r="I57" s="351">
        <f>'- 44 -'!F57</f>
        <v>0.007310712840028013</v>
      </c>
      <c r="K57" s="194">
        <f t="shared" si="0"/>
        <v>1</v>
      </c>
    </row>
    <row r="58" spans="1:11" ht="12.75">
      <c r="A58" s="13">
        <v>2309</v>
      </c>
      <c r="B58" s="14" t="s">
        <v>162</v>
      </c>
      <c r="C58" s="352">
        <f>'- 42 -'!H58</f>
        <v>0.6942900581326257</v>
      </c>
      <c r="D58" s="352">
        <f>'- 43 -'!D58</f>
        <v>0.0053369266413210124</v>
      </c>
      <c r="E58" s="352">
        <f>'- 43 -'!F58</f>
        <v>0.2838421943273793</v>
      </c>
      <c r="F58" s="352">
        <f>'- 43 -'!H58</f>
        <v>0</v>
      </c>
      <c r="G58" s="352">
        <f>'- 43 -'!J58</f>
        <v>0</v>
      </c>
      <c r="H58" s="352">
        <f>'- 44 -'!D58</f>
        <v>0</v>
      </c>
      <c r="I58" s="352">
        <f>'- 44 -'!F58</f>
        <v>0.01653082089867402</v>
      </c>
      <c r="K58" s="194">
        <f t="shared" si="0"/>
        <v>0.9999999999999999</v>
      </c>
    </row>
    <row r="59" spans="1:11" ht="12.75">
      <c r="A59" s="11">
        <v>2312</v>
      </c>
      <c r="B59" s="12" t="s">
        <v>163</v>
      </c>
      <c r="C59" s="351">
        <f>'- 42 -'!H59</f>
        <v>0.9144128629457721</v>
      </c>
      <c r="D59" s="351">
        <f>'- 43 -'!D59</f>
        <v>0</v>
      </c>
      <c r="E59" s="351">
        <f>'- 43 -'!F59</f>
        <v>0.06833849972391245</v>
      </c>
      <c r="F59" s="351">
        <f>'- 43 -'!H59</f>
        <v>0.0045923471814469175</v>
      </c>
      <c r="G59" s="351">
        <f>'- 43 -'!J59</f>
        <v>0.004948390765008501</v>
      </c>
      <c r="H59" s="351">
        <f>'- 44 -'!D59</f>
        <v>0</v>
      </c>
      <c r="I59" s="351">
        <f>'- 44 -'!F59</f>
        <v>0.007707899383860087</v>
      </c>
      <c r="K59" s="194">
        <f t="shared" si="0"/>
        <v>1.0000000000000002</v>
      </c>
    </row>
    <row r="60" spans="1:11" ht="12.75">
      <c r="A60" s="13">
        <v>2355</v>
      </c>
      <c r="B60" s="14" t="s">
        <v>164</v>
      </c>
      <c r="C60" s="352">
        <f>'- 42 -'!H60</f>
        <v>0.6572313848940478</v>
      </c>
      <c r="D60" s="352">
        <f>'- 43 -'!D60</f>
        <v>0.0013416270623627104</v>
      </c>
      <c r="E60" s="352">
        <f>'- 43 -'!F60</f>
        <v>0.3112967135051506</v>
      </c>
      <c r="F60" s="352">
        <f>'- 43 -'!H60</f>
        <v>0.0058397250363117015</v>
      </c>
      <c r="G60" s="352">
        <f>'- 43 -'!J60</f>
        <v>0.012583115019054378</v>
      </c>
      <c r="H60" s="352">
        <f>'- 44 -'!D60</f>
        <v>0.0014373589280078094</v>
      </c>
      <c r="I60" s="352">
        <f>'- 44 -'!F60</f>
        <v>0.010270075555065095</v>
      </c>
      <c r="K60" s="194">
        <f t="shared" si="0"/>
        <v>1</v>
      </c>
    </row>
    <row r="61" spans="1:11" ht="12.75">
      <c r="A61" s="11">
        <v>2439</v>
      </c>
      <c r="B61" s="12" t="s">
        <v>165</v>
      </c>
      <c r="C61" s="351">
        <f>'- 42 -'!H61</f>
        <v>0.6812063603889913</v>
      </c>
      <c r="D61" s="351">
        <f>'- 43 -'!D61</f>
        <v>0</v>
      </c>
      <c r="E61" s="351">
        <f>'- 43 -'!F61</f>
        <v>0.1550783402971628</v>
      </c>
      <c r="F61" s="351">
        <f>'- 43 -'!H61</f>
        <v>0.06864264948293022</v>
      </c>
      <c r="G61" s="351">
        <f>'- 43 -'!J61</f>
        <v>0.09138723415188676</v>
      </c>
      <c r="H61" s="351">
        <f>'- 44 -'!D61</f>
        <v>0.0007209144661587646</v>
      </c>
      <c r="I61" s="351">
        <f>'- 44 -'!F61</f>
        <v>0.0029645012128701026</v>
      </c>
      <c r="K61" s="194">
        <f t="shared" si="0"/>
        <v>0.9999999999999999</v>
      </c>
    </row>
    <row r="62" spans="1:11" ht="12.75">
      <c r="A62" s="13">
        <v>2460</v>
      </c>
      <c r="B62" s="14" t="s">
        <v>166</v>
      </c>
      <c r="C62" s="352">
        <f>'- 42 -'!H62</f>
        <v>0.6781335558593785</v>
      </c>
      <c r="D62" s="352">
        <f>'- 43 -'!D62</f>
        <v>0</v>
      </c>
      <c r="E62" s="352">
        <f>'- 43 -'!F62</f>
        <v>0.31177924417447206</v>
      </c>
      <c r="F62" s="352">
        <f>'- 43 -'!H62</f>
        <v>0.002880075248208797</v>
      </c>
      <c r="G62" s="352">
        <f>'- 43 -'!J62</f>
        <v>0</v>
      </c>
      <c r="H62" s="352">
        <f>'- 44 -'!D62</f>
        <v>0</v>
      </c>
      <c r="I62" s="352">
        <f>'- 44 -'!F62</f>
        <v>0.007207124717940608</v>
      </c>
      <c r="K62" s="194">
        <f t="shared" si="0"/>
        <v>1</v>
      </c>
    </row>
    <row r="63" spans="1:11" ht="12.75">
      <c r="A63" s="11">
        <v>3000</v>
      </c>
      <c r="B63" s="12" t="s">
        <v>366</v>
      </c>
      <c r="C63" s="351">
        <f>'- 42 -'!H63</f>
        <v>0.39375861441058635</v>
      </c>
      <c r="D63" s="351">
        <f>'- 43 -'!D63</f>
        <v>0</v>
      </c>
      <c r="E63" s="351">
        <f>'- 43 -'!F63</f>
        <v>0</v>
      </c>
      <c r="F63" s="351">
        <f>'- 43 -'!H63</f>
        <v>0.4073064727378199</v>
      </c>
      <c r="G63" s="351">
        <f>'- 43 -'!J63</f>
        <v>0</v>
      </c>
      <c r="H63" s="351">
        <f>'- 44 -'!D63</f>
        <v>0.1904383630316125</v>
      </c>
      <c r="I63" s="351">
        <f>'- 44 -'!F63</f>
        <v>0.00849654981998126</v>
      </c>
      <c r="K63" s="194">
        <f t="shared" si="0"/>
        <v>0.9999999999999999</v>
      </c>
    </row>
    <row r="64" spans="1:9" ht="4.5" customHeight="1">
      <c r="A64" s="15"/>
      <c r="B64" s="15"/>
      <c r="C64" s="194"/>
      <c r="D64" s="194"/>
      <c r="E64" s="194"/>
      <c r="F64" s="194"/>
      <c r="G64" s="194"/>
      <c r="H64" s="194"/>
      <c r="I64" s="194"/>
    </row>
    <row r="65" spans="1:11" ht="12.75">
      <c r="A65" s="17"/>
      <c r="B65" s="18" t="s">
        <v>167</v>
      </c>
      <c r="C65" s="100">
        <f>'- 42 -'!H65</f>
        <v>0.5905280324815327</v>
      </c>
      <c r="D65" s="100">
        <f>'- 43 -'!D65</f>
        <v>0.010990445603516735</v>
      </c>
      <c r="E65" s="100">
        <f>'- 43 -'!F65</f>
        <v>0.3525073783638112</v>
      </c>
      <c r="F65" s="100">
        <f>'- 43 -'!H65</f>
        <v>0.010253907036895332</v>
      </c>
      <c r="G65" s="100">
        <f>'- 43 -'!J65</f>
        <v>0.019360894603650543</v>
      </c>
      <c r="H65" s="100">
        <f>'- 44 -'!D65</f>
        <v>0.010965545044721912</v>
      </c>
      <c r="I65" s="100">
        <f>'- 44 -'!F65</f>
        <v>0.005393796865871658</v>
      </c>
      <c r="K65" s="194">
        <f>SUM(C65:I65)</f>
        <v>1</v>
      </c>
    </row>
    <row r="66" spans="1:9" ht="4.5" customHeight="1">
      <c r="A66" s="15"/>
      <c r="B66" s="15"/>
      <c r="C66" s="194"/>
      <c r="D66" s="194"/>
      <c r="E66" s="194"/>
      <c r="F66" s="194"/>
      <c r="G66" s="194"/>
      <c r="H66" s="194"/>
      <c r="I66" s="194"/>
    </row>
    <row r="67" spans="1:11" ht="12.75">
      <c r="A67" s="13">
        <v>2155</v>
      </c>
      <c r="B67" s="14" t="s">
        <v>168</v>
      </c>
      <c r="C67" s="352">
        <f>'- 42 -'!H67</f>
        <v>0.17367870180119507</v>
      </c>
      <c r="D67" s="352">
        <f>'- 43 -'!D67</f>
        <v>0</v>
      </c>
      <c r="E67" s="352">
        <f>'- 43 -'!F67</f>
        <v>0</v>
      </c>
      <c r="F67" s="352">
        <f>'- 43 -'!H67</f>
        <v>0.13725872893994442</v>
      </c>
      <c r="G67" s="352">
        <f>'- 43 -'!J67</f>
        <v>0.09277791838071175</v>
      </c>
      <c r="H67" s="352">
        <f>'- 44 -'!D67</f>
        <v>0.5510131275478324</v>
      </c>
      <c r="I67" s="352">
        <f>'- 44 -'!F67</f>
        <v>0.04527152333031633</v>
      </c>
      <c r="K67" s="194">
        <f>SUM(C67:I67)</f>
        <v>1</v>
      </c>
    </row>
    <row r="68" spans="1:11" ht="12.75">
      <c r="A68" s="11">
        <v>2408</v>
      </c>
      <c r="B68" s="12" t="s">
        <v>170</v>
      </c>
      <c r="C68" s="351">
        <f>'- 42 -'!H68</f>
        <v>0.19595930988276122</v>
      </c>
      <c r="D68" s="351">
        <f>'- 43 -'!D68</f>
        <v>0</v>
      </c>
      <c r="E68" s="351">
        <f>'- 43 -'!F68</f>
        <v>0.7609715579208559</v>
      </c>
      <c r="F68" s="351">
        <f>'- 43 -'!H68</f>
        <v>0.036628714304736264</v>
      </c>
      <c r="G68" s="351">
        <f>'- 43 -'!J68</f>
        <v>0</v>
      </c>
      <c r="H68" s="351">
        <f>'- 44 -'!D68</f>
        <v>0.002948406064205505</v>
      </c>
      <c r="I68" s="351">
        <f>'- 44 -'!F68</f>
        <v>0.0034920118274411006</v>
      </c>
      <c r="K68" s="194">
        <f>SUM(C68:I68)</f>
        <v>1</v>
      </c>
    </row>
    <row r="69" ht="6.75" customHeight="1"/>
    <row r="70" spans="1:9" ht="12" customHeight="1">
      <c r="A70" s="4"/>
      <c r="B70" s="4"/>
      <c r="C70" s="15"/>
      <c r="D70" s="15"/>
      <c r="E70" s="15"/>
      <c r="F70" s="15"/>
      <c r="G70" s="15"/>
      <c r="H70" s="15"/>
      <c r="I70" s="15"/>
    </row>
    <row r="71" spans="1:9" ht="12" customHeight="1">
      <c r="A71" s="4"/>
      <c r="B71" s="4"/>
      <c r="C71" s="15"/>
      <c r="D71" s="15"/>
      <c r="E71" s="15"/>
      <c r="F71" s="15"/>
      <c r="G71" s="15"/>
      <c r="H71" s="15"/>
      <c r="I71" s="15"/>
    </row>
    <row r="72" spans="1:9" ht="12" customHeight="1">
      <c r="A72" s="4"/>
      <c r="B72" s="4"/>
      <c r="C72" s="15"/>
      <c r="D72" s="15"/>
      <c r="E72" s="15"/>
      <c r="F72" s="15"/>
      <c r="G72" s="15"/>
      <c r="H72" s="15"/>
      <c r="I72" s="15"/>
    </row>
    <row r="73" spans="1:9" ht="12" customHeight="1">
      <c r="A73" s="4"/>
      <c r="B73" s="4"/>
      <c r="C73" s="15"/>
      <c r="D73" s="15"/>
      <c r="E73" s="15"/>
      <c r="F73" s="15"/>
      <c r="G73" s="15"/>
      <c r="H73" s="15"/>
      <c r="I73" s="15"/>
    </row>
    <row r="74" spans="1:9" ht="12" customHeight="1">
      <c r="A74" s="4"/>
      <c r="B74" s="4"/>
      <c r="C74" s="15"/>
      <c r="D74" s="15"/>
      <c r="E74" s="15"/>
      <c r="F74" s="15"/>
      <c r="G74" s="15"/>
      <c r="H74" s="15"/>
      <c r="I74"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6.83203125" style="79" customWidth="1"/>
    <col min="4" max="4" width="15.83203125" style="79" customWidth="1"/>
    <col min="5" max="5" width="17.83203125" style="79" customWidth="1"/>
    <col min="6" max="6" width="15.83203125" style="79" customWidth="1"/>
    <col min="7" max="8" width="16.83203125" style="79" customWidth="1"/>
    <col min="9" max="16384" width="15.83203125" style="79" customWidth="1"/>
  </cols>
  <sheetData>
    <row r="1" spans="1:2" ht="6.75" customHeight="1">
      <c r="A1" s="15"/>
      <c r="B1" s="77"/>
    </row>
    <row r="2" spans="1:8" ht="12.75">
      <c r="A2" s="9"/>
      <c r="B2" s="103"/>
      <c r="C2" s="375" t="str">
        <f>"ANALYSIS OF OPERATING FUND REVENUE: "&amp;REPLACE(REPLACE(YEAR,1,22,""),5,0,"")&amp;" ACTUAL"</f>
        <v>ANALYSIS OF OPERATING FUND REVENUE: 2001/2002 ACTUAL</v>
      </c>
      <c r="D2" s="104"/>
      <c r="E2" s="104"/>
      <c r="F2" s="104"/>
      <c r="G2" s="104"/>
      <c r="H2" s="105" t="s">
        <v>2</v>
      </c>
    </row>
    <row r="3" spans="1:2" ht="12.75">
      <c r="A3" s="10"/>
      <c r="B3" s="106"/>
    </row>
    <row r="4" spans="1:8" ht="12.75">
      <c r="A4" s="8"/>
      <c r="C4" s="186" t="s">
        <v>175</v>
      </c>
      <c r="D4" s="187"/>
      <c r="E4" s="187"/>
      <c r="F4" s="187"/>
      <c r="G4" s="187"/>
      <c r="H4" s="188"/>
    </row>
    <row r="5" spans="1:3" ht="12.75">
      <c r="A5" s="8"/>
      <c r="C5" s="15"/>
    </row>
    <row r="6" spans="1:5" ht="12.75">
      <c r="A6" s="8"/>
      <c r="C6" s="186" t="s">
        <v>518</v>
      </c>
      <c r="D6" s="189"/>
      <c r="E6" s="190"/>
    </row>
    <row r="7" spans="1:8" ht="12.75">
      <c r="A7" s="15"/>
      <c r="C7" s="115" t="s">
        <v>512</v>
      </c>
      <c r="D7" s="114"/>
      <c r="E7" s="118" t="s">
        <v>70</v>
      </c>
      <c r="F7" s="191" t="s">
        <v>58</v>
      </c>
      <c r="G7" s="115" t="s">
        <v>70</v>
      </c>
      <c r="H7" s="115" t="s">
        <v>187</v>
      </c>
    </row>
    <row r="8" spans="1:8" ht="12.75">
      <c r="A8" s="91"/>
      <c r="B8" s="43"/>
      <c r="C8" s="118" t="s">
        <v>210</v>
      </c>
      <c r="D8" s="118" t="s">
        <v>58</v>
      </c>
      <c r="E8" s="117" t="s">
        <v>99</v>
      </c>
      <c r="F8" s="192" t="s">
        <v>211</v>
      </c>
      <c r="G8" s="117" t="s">
        <v>211</v>
      </c>
      <c r="H8" s="118" t="s">
        <v>212</v>
      </c>
    </row>
    <row r="9" spans="1:8" ht="16.5">
      <c r="A9" s="49" t="s">
        <v>101</v>
      </c>
      <c r="B9" s="50" t="s">
        <v>102</v>
      </c>
      <c r="C9" s="72" t="s">
        <v>408</v>
      </c>
      <c r="D9" s="72" t="s">
        <v>409</v>
      </c>
      <c r="E9" s="72" t="s">
        <v>236</v>
      </c>
      <c r="F9" s="193" t="s">
        <v>410</v>
      </c>
      <c r="G9" s="72" t="s">
        <v>217</v>
      </c>
      <c r="H9" s="72" t="s">
        <v>217</v>
      </c>
    </row>
    <row r="10" spans="1:8" ht="4.5" customHeight="1">
      <c r="A10" s="74"/>
      <c r="B10" s="74"/>
      <c r="C10" s="145"/>
      <c r="D10" s="145"/>
      <c r="E10" s="145"/>
      <c r="F10" s="145"/>
      <c r="G10" s="145"/>
      <c r="H10" s="145"/>
    </row>
    <row r="11" spans="1:8" ht="12.75">
      <c r="A11" s="11">
        <v>1</v>
      </c>
      <c r="B11" s="12" t="s">
        <v>116</v>
      </c>
      <c r="C11" s="405">
        <f>'- 60 -'!E11</f>
        <v>128082563</v>
      </c>
      <c r="D11" s="405">
        <v>6407493</v>
      </c>
      <c r="E11" s="405">
        <f>SUM(C11,D11)</f>
        <v>134490056</v>
      </c>
      <c r="F11" s="405">
        <v>1773245</v>
      </c>
      <c r="G11" s="405">
        <f>SUM(E11,F11)</f>
        <v>136263301</v>
      </c>
      <c r="H11" s="351">
        <f>G11/'- 44 -'!J11</f>
        <v>0.5570210804234378</v>
      </c>
    </row>
    <row r="12" spans="1:8" ht="12.75">
      <c r="A12" s="13">
        <v>2</v>
      </c>
      <c r="B12" s="14" t="s">
        <v>117</v>
      </c>
      <c r="C12" s="406">
        <f>'- 60 -'!E12</f>
        <v>31559864</v>
      </c>
      <c r="D12" s="406">
        <v>1391659</v>
      </c>
      <c r="E12" s="406">
        <f aca="true" t="shared" si="0" ref="E12:E63">SUM(C12,D12)</f>
        <v>32951523</v>
      </c>
      <c r="F12" s="406">
        <v>130595</v>
      </c>
      <c r="G12" s="406">
        <f aca="true" t="shared" si="1" ref="G12:G63">SUM(E12,F12)</f>
        <v>33082118</v>
      </c>
      <c r="H12" s="352">
        <f>G12/'- 44 -'!J12</f>
        <v>0.5449560626829348</v>
      </c>
    </row>
    <row r="13" spans="1:8" ht="12.75">
      <c r="A13" s="11">
        <v>3</v>
      </c>
      <c r="B13" s="12" t="s">
        <v>118</v>
      </c>
      <c r="C13" s="405">
        <f>'- 60 -'!E13</f>
        <v>21721550</v>
      </c>
      <c r="D13" s="405">
        <v>744920</v>
      </c>
      <c r="E13" s="405">
        <f t="shared" si="0"/>
        <v>22466470</v>
      </c>
      <c r="F13" s="405">
        <v>0</v>
      </c>
      <c r="G13" s="405">
        <f t="shared" si="1"/>
        <v>22466470</v>
      </c>
      <c r="H13" s="351">
        <f>G13/'- 44 -'!J13</f>
        <v>0.49625230878069676</v>
      </c>
    </row>
    <row r="14" spans="1:8" ht="12.75">
      <c r="A14" s="13">
        <v>4</v>
      </c>
      <c r="B14" s="14" t="s">
        <v>119</v>
      </c>
      <c r="C14" s="406">
        <f>'- 60 -'!E14</f>
        <v>22489143</v>
      </c>
      <c r="D14" s="406">
        <v>987801</v>
      </c>
      <c r="E14" s="406">
        <f t="shared" si="0"/>
        <v>23476944</v>
      </c>
      <c r="F14" s="406">
        <v>4217</v>
      </c>
      <c r="G14" s="406">
        <f t="shared" si="1"/>
        <v>23481161</v>
      </c>
      <c r="H14" s="352">
        <f>G14/'- 44 -'!J14</f>
        <v>0.5508944013455799</v>
      </c>
    </row>
    <row r="15" spans="1:8" ht="12.75">
      <c r="A15" s="11">
        <v>5</v>
      </c>
      <c r="B15" s="12" t="s">
        <v>120</v>
      </c>
      <c r="C15" s="405">
        <f>'- 60 -'!E15</f>
        <v>23711877</v>
      </c>
      <c r="D15" s="405">
        <v>980395</v>
      </c>
      <c r="E15" s="405">
        <f t="shared" si="0"/>
        <v>24692272</v>
      </c>
      <c r="F15" s="405">
        <v>42692</v>
      </c>
      <c r="G15" s="405">
        <f t="shared" si="1"/>
        <v>24734964</v>
      </c>
      <c r="H15" s="351">
        <f>G15/'- 44 -'!J15</f>
        <v>0.4682935551126371</v>
      </c>
    </row>
    <row r="16" spans="1:8" ht="12.75">
      <c r="A16" s="13">
        <v>6</v>
      </c>
      <c r="B16" s="14" t="s">
        <v>121</v>
      </c>
      <c r="C16" s="406">
        <f>'- 60 -'!E16</f>
        <v>35330371</v>
      </c>
      <c r="D16" s="406">
        <v>1132789</v>
      </c>
      <c r="E16" s="406">
        <f t="shared" si="0"/>
        <v>36463160</v>
      </c>
      <c r="F16" s="406">
        <v>239263</v>
      </c>
      <c r="G16" s="406">
        <f t="shared" si="1"/>
        <v>36702423</v>
      </c>
      <c r="H16" s="352">
        <f>G16/'- 44 -'!J16</f>
        <v>0.6148881327623036</v>
      </c>
    </row>
    <row r="17" spans="1:8" ht="12.75">
      <c r="A17" s="11">
        <v>9</v>
      </c>
      <c r="B17" s="12" t="s">
        <v>122</v>
      </c>
      <c r="C17" s="405">
        <f>'- 60 -'!E17</f>
        <v>50313196</v>
      </c>
      <c r="D17" s="405">
        <v>1944981</v>
      </c>
      <c r="E17" s="405">
        <f t="shared" si="0"/>
        <v>52258177</v>
      </c>
      <c r="F17" s="405">
        <v>65368</v>
      </c>
      <c r="G17" s="405">
        <f t="shared" si="1"/>
        <v>52323545</v>
      </c>
      <c r="H17" s="351">
        <f>G17/'- 44 -'!J17</f>
        <v>0.6212220825926001</v>
      </c>
    </row>
    <row r="18" spans="1:8" ht="12.75">
      <c r="A18" s="13">
        <v>10</v>
      </c>
      <c r="B18" s="14" t="s">
        <v>123</v>
      </c>
      <c r="C18" s="406">
        <f>'- 60 -'!E18</f>
        <v>34950615</v>
      </c>
      <c r="D18" s="406">
        <v>3053162.2</v>
      </c>
      <c r="E18" s="406">
        <f t="shared" si="0"/>
        <v>38003777.2</v>
      </c>
      <c r="F18" s="406">
        <v>102235</v>
      </c>
      <c r="G18" s="406">
        <f t="shared" si="1"/>
        <v>38106012.2</v>
      </c>
      <c r="H18" s="352">
        <f>G18/'- 44 -'!J18</f>
        <v>0.5951160234476363</v>
      </c>
    </row>
    <row r="19" spans="1:8" ht="12.75">
      <c r="A19" s="11">
        <v>11</v>
      </c>
      <c r="B19" s="12" t="s">
        <v>124</v>
      </c>
      <c r="C19" s="405">
        <f>'- 60 -'!E19</f>
        <v>18724742</v>
      </c>
      <c r="D19" s="405">
        <v>854959</v>
      </c>
      <c r="E19" s="405">
        <f t="shared" si="0"/>
        <v>19579701</v>
      </c>
      <c r="F19" s="405">
        <v>14129</v>
      </c>
      <c r="G19" s="405">
        <f t="shared" si="1"/>
        <v>19593830</v>
      </c>
      <c r="H19" s="351">
        <f>G19/'- 44 -'!J19</f>
        <v>0.5873591797596082</v>
      </c>
    </row>
    <row r="20" spans="1:8" ht="12.75">
      <c r="A20" s="13">
        <v>12</v>
      </c>
      <c r="B20" s="14" t="s">
        <v>125</v>
      </c>
      <c r="C20" s="406">
        <f>'- 60 -'!E20</f>
        <v>30744768</v>
      </c>
      <c r="D20" s="406">
        <v>1533791</v>
      </c>
      <c r="E20" s="406">
        <f t="shared" si="0"/>
        <v>32278559</v>
      </c>
      <c r="F20" s="406">
        <v>0</v>
      </c>
      <c r="G20" s="406">
        <f t="shared" si="1"/>
        <v>32278559</v>
      </c>
      <c r="H20" s="352">
        <f>G20/'- 44 -'!J20</f>
        <v>0.6173000241117291</v>
      </c>
    </row>
    <row r="21" spans="1:8" ht="12.75">
      <c r="A21" s="11">
        <v>13</v>
      </c>
      <c r="B21" s="12" t="s">
        <v>126</v>
      </c>
      <c r="C21" s="405">
        <f>'- 60 -'!E21</f>
        <v>10957971</v>
      </c>
      <c r="D21" s="405">
        <v>1154438.6</v>
      </c>
      <c r="E21" s="405">
        <f t="shared" si="0"/>
        <v>12112409.6</v>
      </c>
      <c r="F21" s="405">
        <v>6128</v>
      </c>
      <c r="G21" s="405">
        <f t="shared" si="1"/>
        <v>12118537.6</v>
      </c>
      <c r="H21" s="351">
        <f>G21/'- 44 -'!J21</f>
        <v>0.5744557633365451</v>
      </c>
    </row>
    <row r="22" spans="1:8" ht="12.75">
      <c r="A22" s="13">
        <v>14</v>
      </c>
      <c r="B22" s="14" t="s">
        <v>127</v>
      </c>
      <c r="C22" s="406">
        <f>'- 60 -'!E22</f>
        <v>15709644</v>
      </c>
      <c r="D22" s="406">
        <v>666182</v>
      </c>
      <c r="E22" s="406">
        <f t="shared" si="0"/>
        <v>16375826</v>
      </c>
      <c r="F22" s="406">
        <v>26938</v>
      </c>
      <c r="G22" s="406">
        <f t="shared" si="1"/>
        <v>16402764</v>
      </c>
      <c r="H22" s="352">
        <f>G22/'- 44 -'!J22</f>
        <v>0.665151970738245</v>
      </c>
    </row>
    <row r="23" spans="1:8" ht="12.75">
      <c r="A23" s="11">
        <v>15</v>
      </c>
      <c r="B23" s="12" t="s">
        <v>128</v>
      </c>
      <c r="C23" s="405">
        <f>'- 60 -'!E23</f>
        <v>23749233</v>
      </c>
      <c r="D23" s="405">
        <v>513429</v>
      </c>
      <c r="E23" s="405">
        <f t="shared" si="0"/>
        <v>24262662</v>
      </c>
      <c r="F23" s="405">
        <v>103066</v>
      </c>
      <c r="G23" s="405">
        <f t="shared" si="1"/>
        <v>24365728</v>
      </c>
      <c r="H23" s="351">
        <f>G23/'- 44 -'!J23</f>
        <v>0.7527606319898603</v>
      </c>
    </row>
    <row r="24" spans="1:8" ht="12.75">
      <c r="A24" s="13">
        <v>16</v>
      </c>
      <c r="B24" s="14" t="s">
        <v>129</v>
      </c>
      <c r="C24" s="406">
        <f>'- 60 -'!E24</f>
        <v>3591994</v>
      </c>
      <c r="D24" s="406">
        <v>176618</v>
      </c>
      <c r="E24" s="406">
        <f t="shared" si="0"/>
        <v>3768612</v>
      </c>
      <c r="F24" s="406">
        <v>10138</v>
      </c>
      <c r="G24" s="406">
        <f t="shared" si="1"/>
        <v>3778750</v>
      </c>
      <c r="H24" s="352">
        <f>G24/'- 44 -'!J24</f>
        <v>0.5947536028803931</v>
      </c>
    </row>
    <row r="25" spans="1:8" ht="12.75">
      <c r="A25" s="11">
        <v>17</v>
      </c>
      <c r="B25" s="12" t="s">
        <v>130</v>
      </c>
      <c r="C25" s="405">
        <f>'- 60 -'!E25</f>
        <v>2545462.98</v>
      </c>
      <c r="D25" s="405">
        <v>140676.14</v>
      </c>
      <c r="E25" s="405">
        <f t="shared" si="0"/>
        <v>2686139.12</v>
      </c>
      <c r="F25" s="405">
        <v>0</v>
      </c>
      <c r="G25" s="405">
        <f t="shared" si="1"/>
        <v>2686139.12</v>
      </c>
      <c r="H25" s="351">
        <f>G25/'- 44 -'!J25</f>
        <v>0.6161530747019706</v>
      </c>
    </row>
    <row r="26" spans="1:8" ht="12.75">
      <c r="A26" s="13">
        <v>18</v>
      </c>
      <c r="B26" s="14" t="s">
        <v>131</v>
      </c>
      <c r="C26" s="406">
        <f>'- 60 -'!E26</f>
        <v>5750203</v>
      </c>
      <c r="D26" s="406">
        <v>480033</v>
      </c>
      <c r="E26" s="406">
        <f t="shared" si="0"/>
        <v>6230236</v>
      </c>
      <c r="F26" s="406">
        <v>47652</v>
      </c>
      <c r="G26" s="406">
        <f t="shared" si="1"/>
        <v>6277888</v>
      </c>
      <c r="H26" s="352">
        <f>G26/'- 44 -'!J26</f>
        <v>0.6464246406065091</v>
      </c>
    </row>
    <row r="27" spans="1:8" ht="12.75">
      <c r="A27" s="11">
        <v>19</v>
      </c>
      <c r="B27" s="12" t="s">
        <v>132</v>
      </c>
      <c r="C27" s="405">
        <f>'- 60 -'!E27</f>
        <v>8313074</v>
      </c>
      <c r="D27" s="405">
        <v>1942181</v>
      </c>
      <c r="E27" s="405">
        <f t="shared" si="0"/>
        <v>10255255</v>
      </c>
      <c r="F27" s="405">
        <v>3479</v>
      </c>
      <c r="G27" s="405">
        <f t="shared" si="1"/>
        <v>10258734</v>
      </c>
      <c r="H27" s="351">
        <f>G27/'- 44 -'!J27</f>
        <v>0.6488134513982232</v>
      </c>
    </row>
    <row r="28" spans="1:8" ht="12.75">
      <c r="A28" s="13">
        <v>20</v>
      </c>
      <c r="B28" s="14" t="s">
        <v>133</v>
      </c>
      <c r="C28" s="406">
        <f>'- 60 -'!E28</f>
        <v>4624917</v>
      </c>
      <c r="D28" s="406">
        <v>103795</v>
      </c>
      <c r="E28" s="406">
        <f t="shared" si="0"/>
        <v>4728712</v>
      </c>
      <c r="F28" s="406">
        <v>0</v>
      </c>
      <c r="G28" s="406">
        <f t="shared" si="1"/>
        <v>4728712</v>
      </c>
      <c r="H28" s="352">
        <f>G28/'- 44 -'!J28</f>
        <v>0.5812403901738455</v>
      </c>
    </row>
    <row r="29" spans="1:8" ht="12.75">
      <c r="A29" s="11">
        <v>21</v>
      </c>
      <c r="B29" s="12" t="s">
        <v>134</v>
      </c>
      <c r="C29" s="405">
        <f>'- 60 -'!E29</f>
        <v>14717164</v>
      </c>
      <c r="D29" s="405">
        <v>603245</v>
      </c>
      <c r="E29" s="405">
        <f t="shared" si="0"/>
        <v>15320409</v>
      </c>
      <c r="F29" s="405">
        <v>8607</v>
      </c>
      <c r="G29" s="405">
        <f t="shared" si="1"/>
        <v>15329016</v>
      </c>
      <c r="H29" s="351">
        <f>G29/'- 44 -'!J29</f>
        <v>0.6498970040029527</v>
      </c>
    </row>
    <row r="30" spans="1:8" ht="12.75">
      <c r="A30" s="13">
        <v>22</v>
      </c>
      <c r="B30" s="14" t="s">
        <v>135</v>
      </c>
      <c r="C30" s="406">
        <f>'- 60 -'!E30</f>
        <v>6592806</v>
      </c>
      <c r="D30" s="406">
        <v>265460</v>
      </c>
      <c r="E30" s="406">
        <f t="shared" si="0"/>
        <v>6858266</v>
      </c>
      <c r="F30" s="406">
        <v>143140</v>
      </c>
      <c r="G30" s="406">
        <f t="shared" si="1"/>
        <v>7001406</v>
      </c>
      <c r="H30" s="352">
        <f>G30/'- 44 -'!J30</f>
        <v>0.5533731476491146</v>
      </c>
    </row>
    <row r="31" spans="1:8" ht="12.75">
      <c r="A31" s="11">
        <v>23</v>
      </c>
      <c r="B31" s="12" t="s">
        <v>136</v>
      </c>
      <c r="C31" s="405">
        <f>'- 60 -'!E31</f>
        <v>7191730</v>
      </c>
      <c r="D31" s="405">
        <v>197052</v>
      </c>
      <c r="E31" s="405">
        <f t="shared" si="0"/>
        <v>7388782</v>
      </c>
      <c r="F31" s="405">
        <v>20968</v>
      </c>
      <c r="G31" s="405">
        <f t="shared" si="1"/>
        <v>7409750</v>
      </c>
      <c r="H31" s="351">
        <f>G31/'- 44 -'!J31</f>
        <v>0.7034433431793408</v>
      </c>
    </row>
    <row r="32" spans="1:8" ht="12.75">
      <c r="A32" s="13">
        <v>24</v>
      </c>
      <c r="B32" s="14" t="s">
        <v>137</v>
      </c>
      <c r="C32" s="406">
        <f>'- 60 -'!E32</f>
        <v>14083455</v>
      </c>
      <c r="D32" s="406">
        <v>620218</v>
      </c>
      <c r="E32" s="406">
        <f t="shared" si="0"/>
        <v>14703673</v>
      </c>
      <c r="F32" s="406">
        <v>1487</v>
      </c>
      <c r="G32" s="406">
        <f t="shared" si="1"/>
        <v>14705160</v>
      </c>
      <c r="H32" s="352">
        <f>G32/'- 44 -'!J32</f>
        <v>0.6299449659848413</v>
      </c>
    </row>
    <row r="33" spans="1:8" ht="12.75">
      <c r="A33" s="11">
        <v>25</v>
      </c>
      <c r="B33" s="12" t="s">
        <v>138</v>
      </c>
      <c r="C33" s="405">
        <f>'- 60 -'!E33</f>
        <v>6307523</v>
      </c>
      <c r="D33" s="405">
        <v>604968</v>
      </c>
      <c r="E33" s="405">
        <f t="shared" si="0"/>
        <v>6912491</v>
      </c>
      <c r="F33" s="405">
        <v>13745</v>
      </c>
      <c r="G33" s="405">
        <f t="shared" si="1"/>
        <v>6926236</v>
      </c>
      <c r="H33" s="351">
        <f>G33/'- 44 -'!J33</f>
        <v>0.6341642469720971</v>
      </c>
    </row>
    <row r="34" spans="1:8" ht="12.75">
      <c r="A34" s="13">
        <v>26</v>
      </c>
      <c r="B34" s="14" t="s">
        <v>139</v>
      </c>
      <c r="C34" s="406">
        <f>'- 60 -'!E34</f>
        <v>11373330</v>
      </c>
      <c r="D34" s="406">
        <v>390464</v>
      </c>
      <c r="E34" s="406">
        <f t="shared" si="0"/>
        <v>11763794</v>
      </c>
      <c r="F34" s="406">
        <v>8485</v>
      </c>
      <c r="G34" s="406">
        <f t="shared" si="1"/>
        <v>11772279</v>
      </c>
      <c r="H34" s="352">
        <f>G34/'- 44 -'!J34</f>
        <v>0.7156787814051946</v>
      </c>
    </row>
    <row r="35" spans="1:8" ht="12.75">
      <c r="A35" s="11">
        <v>28</v>
      </c>
      <c r="B35" s="12" t="s">
        <v>140</v>
      </c>
      <c r="C35" s="405">
        <f>'- 60 -'!E35</f>
        <v>4276511</v>
      </c>
      <c r="D35" s="405">
        <v>95199</v>
      </c>
      <c r="E35" s="405">
        <f t="shared" si="0"/>
        <v>4371710</v>
      </c>
      <c r="F35" s="405">
        <v>5153</v>
      </c>
      <c r="G35" s="405">
        <f t="shared" si="1"/>
        <v>4376863</v>
      </c>
      <c r="H35" s="351">
        <f>G35/'- 44 -'!J35</f>
        <v>0.6714018612934339</v>
      </c>
    </row>
    <row r="36" spans="1:8" ht="12.75">
      <c r="A36" s="13">
        <v>30</v>
      </c>
      <c r="B36" s="14" t="s">
        <v>141</v>
      </c>
      <c r="C36" s="406">
        <f>'- 60 -'!E36</f>
        <v>6278157</v>
      </c>
      <c r="D36" s="406">
        <v>151123</v>
      </c>
      <c r="E36" s="406">
        <f t="shared" si="0"/>
        <v>6429280</v>
      </c>
      <c r="F36" s="406">
        <v>1295</v>
      </c>
      <c r="G36" s="406">
        <f t="shared" si="1"/>
        <v>6430575</v>
      </c>
      <c r="H36" s="352">
        <f>G36/'- 44 -'!J36</f>
        <v>0.6724730164264299</v>
      </c>
    </row>
    <row r="37" spans="1:8" ht="12.75">
      <c r="A37" s="11">
        <v>31</v>
      </c>
      <c r="B37" s="12" t="s">
        <v>142</v>
      </c>
      <c r="C37" s="405">
        <f>'- 60 -'!E37</f>
        <v>7030715</v>
      </c>
      <c r="D37" s="405">
        <v>161590</v>
      </c>
      <c r="E37" s="405">
        <f t="shared" si="0"/>
        <v>7192305</v>
      </c>
      <c r="F37" s="405">
        <v>880</v>
      </c>
      <c r="G37" s="405">
        <f t="shared" si="1"/>
        <v>7193185</v>
      </c>
      <c r="H37" s="351">
        <f>G37/'- 44 -'!J37</f>
        <v>0.645559690254193</v>
      </c>
    </row>
    <row r="38" spans="1:8" ht="12.75">
      <c r="A38" s="13">
        <v>32</v>
      </c>
      <c r="B38" s="14" t="s">
        <v>143</v>
      </c>
      <c r="C38" s="406">
        <f>'- 60 -'!E38</f>
        <v>4679743</v>
      </c>
      <c r="D38" s="406">
        <v>104623</v>
      </c>
      <c r="E38" s="406">
        <f t="shared" si="0"/>
        <v>4784366</v>
      </c>
      <c r="F38" s="406">
        <v>0</v>
      </c>
      <c r="G38" s="406">
        <f t="shared" si="1"/>
        <v>4784366</v>
      </c>
      <c r="H38" s="352">
        <f>G38/'- 44 -'!J38</f>
        <v>0.7161711009045908</v>
      </c>
    </row>
    <row r="39" spans="1:8" ht="12.75">
      <c r="A39" s="11">
        <v>33</v>
      </c>
      <c r="B39" s="12" t="s">
        <v>144</v>
      </c>
      <c r="C39" s="405">
        <f>'- 60 -'!E39</f>
        <v>8257851</v>
      </c>
      <c r="D39" s="405">
        <v>277896</v>
      </c>
      <c r="E39" s="405">
        <f t="shared" si="0"/>
        <v>8535747</v>
      </c>
      <c r="F39" s="405">
        <v>27880</v>
      </c>
      <c r="G39" s="405">
        <f t="shared" si="1"/>
        <v>8563627</v>
      </c>
      <c r="H39" s="351">
        <f>G39/'- 44 -'!J39</f>
        <v>0.6442717801784961</v>
      </c>
    </row>
    <row r="40" spans="1:8" ht="12.75">
      <c r="A40" s="13">
        <v>34</v>
      </c>
      <c r="B40" s="14" t="s">
        <v>145</v>
      </c>
      <c r="C40" s="406">
        <f>'- 60 -'!E40</f>
        <v>4109855</v>
      </c>
      <c r="D40" s="406">
        <v>247716</v>
      </c>
      <c r="E40" s="406">
        <f t="shared" si="0"/>
        <v>4357571</v>
      </c>
      <c r="F40" s="406">
        <v>0</v>
      </c>
      <c r="G40" s="406">
        <f t="shared" si="1"/>
        <v>4357571</v>
      </c>
      <c r="H40" s="352">
        <f>G40/'- 44 -'!J40</f>
        <v>0.7538764365149596</v>
      </c>
    </row>
    <row r="41" spans="1:8" ht="12.75">
      <c r="A41" s="11">
        <v>35</v>
      </c>
      <c r="B41" s="12" t="s">
        <v>146</v>
      </c>
      <c r="C41" s="405">
        <f>'- 60 -'!E41</f>
        <v>8863283</v>
      </c>
      <c r="D41" s="405">
        <v>393949</v>
      </c>
      <c r="E41" s="405">
        <f t="shared" si="0"/>
        <v>9257232</v>
      </c>
      <c r="F41" s="405">
        <v>57235</v>
      </c>
      <c r="G41" s="405">
        <f t="shared" si="1"/>
        <v>9314467</v>
      </c>
      <c r="H41" s="351">
        <f>G41/'- 44 -'!J41</f>
        <v>0.6423344189164829</v>
      </c>
    </row>
    <row r="42" spans="1:8" ht="12.75">
      <c r="A42" s="13">
        <v>36</v>
      </c>
      <c r="B42" s="14" t="s">
        <v>147</v>
      </c>
      <c r="C42" s="406">
        <f>'- 60 -'!E42</f>
        <v>4520700</v>
      </c>
      <c r="D42" s="406">
        <v>123262</v>
      </c>
      <c r="E42" s="406">
        <f t="shared" si="0"/>
        <v>4643962</v>
      </c>
      <c r="F42" s="406">
        <v>7436</v>
      </c>
      <c r="G42" s="406">
        <f t="shared" si="1"/>
        <v>4651398</v>
      </c>
      <c r="H42" s="352">
        <f>G42/'- 44 -'!J42</f>
        <v>0.6091439202332019</v>
      </c>
    </row>
    <row r="43" spans="1:8" ht="12.75">
      <c r="A43" s="11">
        <v>37</v>
      </c>
      <c r="B43" s="12" t="s">
        <v>148</v>
      </c>
      <c r="C43" s="405">
        <f>'- 60 -'!E43</f>
        <v>4193961</v>
      </c>
      <c r="D43" s="405">
        <v>100001</v>
      </c>
      <c r="E43" s="405">
        <f t="shared" si="0"/>
        <v>4293962</v>
      </c>
      <c r="F43" s="405">
        <v>0</v>
      </c>
      <c r="G43" s="405">
        <f t="shared" si="1"/>
        <v>4293962</v>
      </c>
      <c r="H43" s="351">
        <f>G43/'- 44 -'!J43</f>
        <v>0.6129225602461532</v>
      </c>
    </row>
    <row r="44" spans="1:8" ht="12.75">
      <c r="A44" s="13">
        <v>38</v>
      </c>
      <c r="B44" s="14" t="s">
        <v>149</v>
      </c>
      <c r="C44" s="406">
        <f>'- 60 -'!E44</f>
        <v>5244113</v>
      </c>
      <c r="D44" s="406">
        <v>135889</v>
      </c>
      <c r="E44" s="406">
        <f t="shared" si="0"/>
        <v>5380002</v>
      </c>
      <c r="F44" s="406">
        <v>0</v>
      </c>
      <c r="G44" s="406">
        <f t="shared" si="1"/>
        <v>5380002</v>
      </c>
      <c r="H44" s="352">
        <f>G44/'- 44 -'!J44</f>
        <v>0.5767101378744058</v>
      </c>
    </row>
    <row r="45" spans="1:8" ht="12.75">
      <c r="A45" s="11">
        <v>39</v>
      </c>
      <c r="B45" s="12" t="s">
        <v>150</v>
      </c>
      <c r="C45" s="405">
        <f>'- 60 -'!E45</f>
        <v>9454955</v>
      </c>
      <c r="D45" s="405">
        <v>336836</v>
      </c>
      <c r="E45" s="405">
        <f t="shared" si="0"/>
        <v>9791791</v>
      </c>
      <c r="F45" s="405">
        <v>5547</v>
      </c>
      <c r="G45" s="405">
        <f t="shared" si="1"/>
        <v>9797338</v>
      </c>
      <c r="H45" s="351">
        <f>G45/'- 44 -'!J45</f>
        <v>0.6115679801118986</v>
      </c>
    </row>
    <row r="46" spans="1:8" ht="12.75">
      <c r="A46" s="13">
        <v>40</v>
      </c>
      <c r="B46" s="14" t="s">
        <v>151</v>
      </c>
      <c r="C46" s="406">
        <f>'- 60 -'!E46</f>
        <v>27005958</v>
      </c>
      <c r="D46" s="406">
        <v>861660</v>
      </c>
      <c r="E46" s="406">
        <f t="shared" si="0"/>
        <v>27867618</v>
      </c>
      <c r="F46" s="406">
        <v>2959</v>
      </c>
      <c r="G46" s="406">
        <f t="shared" si="1"/>
        <v>27870577</v>
      </c>
      <c r="H46" s="352">
        <f>G46/'- 44 -'!J46</f>
        <v>0.6090756112926269</v>
      </c>
    </row>
    <row r="47" spans="1:8" ht="12.75">
      <c r="A47" s="11">
        <v>41</v>
      </c>
      <c r="B47" s="12" t="s">
        <v>152</v>
      </c>
      <c r="C47" s="405">
        <f>'- 60 -'!E47</f>
        <v>6709909</v>
      </c>
      <c r="D47" s="405">
        <v>291629</v>
      </c>
      <c r="E47" s="405">
        <f t="shared" si="0"/>
        <v>7001538</v>
      </c>
      <c r="F47" s="405">
        <v>0</v>
      </c>
      <c r="G47" s="405">
        <f t="shared" si="1"/>
        <v>7001538</v>
      </c>
      <c r="H47" s="351">
        <f>G47/'- 44 -'!J47</f>
        <v>0.5608390295386703</v>
      </c>
    </row>
    <row r="48" spans="1:8" ht="12.75">
      <c r="A48" s="13">
        <v>42</v>
      </c>
      <c r="B48" s="14" t="s">
        <v>153</v>
      </c>
      <c r="C48" s="406">
        <f>'- 60 -'!E48</f>
        <v>4766323</v>
      </c>
      <c r="D48" s="406">
        <v>120869</v>
      </c>
      <c r="E48" s="406">
        <f t="shared" si="0"/>
        <v>4887192</v>
      </c>
      <c r="F48" s="406">
        <v>23437</v>
      </c>
      <c r="G48" s="406">
        <f t="shared" si="1"/>
        <v>4910629</v>
      </c>
      <c r="H48" s="352">
        <f>G48/'- 44 -'!J48</f>
        <v>0.5984490820406376</v>
      </c>
    </row>
    <row r="49" spans="1:8" ht="12.75">
      <c r="A49" s="11">
        <v>43</v>
      </c>
      <c r="B49" s="12" t="s">
        <v>154</v>
      </c>
      <c r="C49" s="405">
        <f>'- 60 -'!E49</f>
        <v>3359692</v>
      </c>
      <c r="D49" s="405">
        <v>122811</v>
      </c>
      <c r="E49" s="405">
        <f t="shared" si="0"/>
        <v>3482503</v>
      </c>
      <c r="F49" s="405">
        <v>23646</v>
      </c>
      <c r="G49" s="405">
        <f t="shared" si="1"/>
        <v>3506149</v>
      </c>
      <c r="H49" s="351">
        <f>G49/'- 44 -'!J49</f>
        <v>0.553711962939198</v>
      </c>
    </row>
    <row r="50" spans="1:8" ht="12.75">
      <c r="A50" s="13">
        <v>44</v>
      </c>
      <c r="B50" s="14" t="s">
        <v>155</v>
      </c>
      <c r="C50" s="406">
        <f>'- 60 -'!E50</f>
        <v>5530953</v>
      </c>
      <c r="D50" s="406">
        <v>472139</v>
      </c>
      <c r="E50" s="406">
        <f t="shared" si="0"/>
        <v>6003092</v>
      </c>
      <c r="F50" s="406">
        <v>3140</v>
      </c>
      <c r="G50" s="406">
        <f t="shared" si="1"/>
        <v>6006232</v>
      </c>
      <c r="H50" s="352">
        <f>G50/'- 44 -'!J50</f>
        <v>0.6327622714634923</v>
      </c>
    </row>
    <row r="51" spans="1:8" ht="12.75">
      <c r="A51" s="11">
        <v>45</v>
      </c>
      <c r="B51" s="12" t="s">
        <v>156</v>
      </c>
      <c r="C51" s="405">
        <f>'- 60 -'!E51</f>
        <v>8685809</v>
      </c>
      <c r="D51" s="405">
        <v>302343</v>
      </c>
      <c r="E51" s="405">
        <f t="shared" si="0"/>
        <v>8988152</v>
      </c>
      <c r="F51" s="405">
        <v>1874</v>
      </c>
      <c r="G51" s="405">
        <f t="shared" si="1"/>
        <v>8990026</v>
      </c>
      <c r="H51" s="351">
        <f>G51/'- 44 -'!J51</f>
        <v>0.7271671195877468</v>
      </c>
    </row>
    <row r="52" spans="1:8" ht="12.75">
      <c r="A52" s="13">
        <v>46</v>
      </c>
      <c r="B52" s="14" t="s">
        <v>157</v>
      </c>
      <c r="C52" s="406">
        <f>'- 60 -'!E52</f>
        <v>6349891</v>
      </c>
      <c r="D52" s="406">
        <v>217755</v>
      </c>
      <c r="E52" s="406">
        <f t="shared" si="0"/>
        <v>6567646</v>
      </c>
      <c r="F52" s="406">
        <v>0</v>
      </c>
      <c r="G52" s="406">
        <f t="shared" si="1"/>
        <v>6567646</v>
      </c>
      <c r="H52" s="352">
        <f>G52/'- 44 -'!J52</f>
        <v>0.595981517769428</v>
      </c>
    </row>
    <row r="53" spans="1:8" ht="12.75">
      <c r="A53" s="11">
        <v>47</v>
      </c>
      <c r="B53" s="12" t="s">
        <v>158</v>
      </c>
      <c r="C53" s="405">
        <f>'- 60 -'!E53</f>
        <v>5773396</v>
      </c>
      <c r="D53" s="405">
        <v>330251</v>
      </c>
      <c r="E53" s="405">
        <f t="shared" si="0"/>
        <v>6103647</v>
      </c>
      <c r="F53" s="405">
        <v>16974</v>
      </c>
      <c r="G53" s="405">
        <f t="shared" si="1"/>
        <v>6120621</v>
      </c>
      <c r="H53" s="351">
        <f>G53/'- 44 -'!J53</f>
        <v>0.6501440953413935</v>
      </c>
    </row>
    <row r="54" spans="1:8" ht="12.75">
      <c r="A54" s="13">
        <v>48</v>
      </c>
      <c r="B54" s="14" t="s">
        <v>159</v>
      </c>
      <c r="C54" s="406">
        <f>'- 60 -'!E54</f>
        <v>20841706</v>
      </c>
      <c r="D54" s="406">
        <v>7331170</v>
      </c>
      <c r="E54" s="406">
        <f t="shared" si="0"/>
        <v>28172876</v>
      </c>
      <c r="F54" s="406">
        <v>136239</v>
      </c>
      <c r="G54" s="406">
        <f t="shared" si="1"/>
        <v>28309115</v>
      </c>
      <c r="H54" s="352">
        <f>G54/'- 44 -'!J54</f>
        <v>0.46498127394036515</v>
      </c>
    </row>
    <row r="55" spans="1:8" ht="12.75">
      <c r="A55" s="11">
        <v>49</v>
      </c>
      <c r="B55" s="12" t="s">
        <v>160</v>
      </c>
      <c r="C55" s="405">
        <f>'- 60 -'!E55</f>
        <v>20193419</v>
      </c>
      <c r="D55" s="405">
        <v>2513250</v>
      </c>
      <c r="E55" s="405">
        <f t="shared" si="0"/>
        <v>22706669</v>
      </c>
      <c r="F55" s="405">
        <v>116386</v>
      </c>
      <c r="G55" s="405">
        <f t="shared" si="1"/>
        <v>22823055</v>
      </c>
      <c r="H55" s="351">
        <f>G55/'- 44 -'!J55</f>
        <v>0.6222109046976005</v>
      </c>
    </row>
    <row r="56" spans="1:8" ht="12.75">
      <c r="A56" s="13">
        <v>50</v>
      </c>
      <c r="B56" s="14" t="s">
        <v>343</v>
      </c>
      <c r="C56" s="406">
        <f>'- 60 -'!E56</f>
        <v>9023975</v>
      </c>
      <c r="D56" s="406">
        <v>216000</v>
      </c>
      <c r="E56" s="406">
        <f t="shared" si="0"/>
        <v>9239975</v>
      </c>
      <c r="F56" s="406">
        <v>17486</v>
      </c>
      <c r="G56" s="406">
        <f t="shared" si="1"/>
        <v>9257461</v>
      </c>
      <c r="H56" s="352">
        <f>G56/'- 44 -'!J56</f>
        <v>0.6206101077248267</v>
      </c>
    </row>
    <row r="57" spans="1:8" ht="12.75">
      <c r="A57" s="11">
        <v>2264</v>
      </c>
      <c r="B57" s="12" t="s">
        <v>161</v>
      </c>
      <c r="C57" s="405">
        <f>'- 60 -'!E57</f>
        <v>1236995</v>
      </c>
      <c r="D57" s="405">
        <v>111180</v>
      </c>
      <c r="E57" s="405">
        <f t="shared" si="0"/>
        <v>1348175</v>
      </c>
      <c r="F57" s="405">
        <v>0</v>
      </c>
      <c r="G57" s="405">
        <f t="shared" si="1"/>
        <v>1348175</v>
      </c>
      <c r="H57" s="351">
        <f>G57/'- 44 -'!J57</f>
        <v>0.7014532974951795</v>
      </c>
    </row>
    <row r="58" spans="1:8" ht="12.75">
      <c r="A58" s="13">
        <v>2309</v>
      </c>
      <c r="B58" s="14" t="s">
        <v>162</v>
      </c>
      <c r="C58" s="406">
        <f>'- 60 -'!E58</f>
        <v>1386430</v>
      </c>
      <c r="D58" s="406">
        <v>20331</v>
      </c>
      <c r="E58" s="406">
        <f t="shared" si="0"/>
        <v>1406761</v>
      </c>
      <c r="F58" s="406">
        <v>7076</v>
      </c>
      <c r="G58" s="406">
        <f t="shared" si="1"/>
        <v>1413837</v>
      </c>
      <c r="H58" s="352">
        <f>G58/'- 44 -'!J58</f>
        <v>0.6942900581326257</v>
      </c>
    </row>
    <row r="59" spans="1:8" ht="12.75">
      <c r="A59" s="11">
        <v>2312</v>
      </c>
      <c r="B59" s="12" t="s">
        <v>163</v>
      </c>
      <c r="C59" s="405">
        <f>'- 60 -'!E59</f>
        <v>1325822</v>
      </c>
      <c r="D59" s="405">
        <v>12242</v>
      </c>
      <c r="E59" s="405">
        <f t="shared" si="0"/>
        <v>1338064</v>
      </c>
      <c r="F59" s="405">
        <v>0</v>
      </c>
      <c r="G59" s="405">
        <f t="shared" si="1"/>
        <v>1338064</v>
      </c>
      <c r="H59" s="351">
        <f>G59/'- 44 -'!J59</f>
        <v>0.9144128629457721</v>
      </c>
    </row>
    <row r="60" spans="1:8" ht="12.75">
      <c r="A60" s="13">
        <v>2355</v>
      </c>
      <c r="B60" s="14" t="s">
        <v>164</v>
      </c>
      <c r="C60" s="406">
        <f>'- 60 -'!E60</f>
        <v>15755962</v>
      </c>
      <c r="D60" s="406">
        <v>425634</v>
      </c>
      <c r="E60" s="406">
        <f t="shared" si="0"/>
        <v>16181596</v>
      </c>
      <c r="F60" s="406">
        <v>0</v>
      </c>
      <c r="G60" s="406">
        <f t="shared" si="1"/>
        <v>16181596</v>
      </c>
      <c r="H60" s="352">
        <f>G60/'- 44 -'!J60</f>
        <v>0.6572313848940478</v>
      </c>
    </row>
    <row r="61" spans="1:8" ht="12.75">
      <c r="A61" s="11">
        <v>2439</v>
      </c>
      <c r="B61" s="12" t="s">
        <v>165</v>
      </c>
      <c r="C61" s="405">
        <f>'- 60 -'!E61</f>
        <v>944144.14</v>
      </c>
      <c r="D61" s="405">
        <v>775.67</v>
      </c>
      <c r="E61" s="405">
        <f t="shared" si="0"/>
        <v>944919.81</v>
      </c>
      <c r="F61" s="405">
        <v>0</v>
      </c>
      <c r="G61" s="405">
        <f t="shared" si="1"/>
        <v>944919.81</v>
      </c>
      <c r="H61" s="351">
        <f>G61/'- 44 -'!J61</f>
        <v>0.6812063603889913</v>
      </c>
    </row>
    <row r="62" spans="1:8" ht="12.75">
      <c r="A62" s="13">
        <v>2460</v>
      </c>
      <c r="B62" s="14" t="s">
        <v>166</v>
      </c>
      <c r="C62" s="406">
        <f>'- 60 -'!E62</f>
        <v>1792019</v>
      </c>
      <c r="D62" s="406">
        <v>44059</v>
      </c>
      <c r="E62" s="406">
        <f t="shared" si="0"/>
        <v>1836078</v>
      </c>
      <c r="F62" s="406">
        <v>119156</v>
      </c>
      <c r="G62" s="406">
        <f t="shared" si="1"/>
        <v>1955234</v>
      </c>
      <c r="H62" s="352">
        <f>G62/'- 44 -'!J62</f>
        <v>0.6781335558593785</v>
      </c>
    </row>
    <row r="63" spans="1:8" ht="12.75">
      <c r="A63" s="11">
        <v>3000</v>
      </c>
      <c r="B63" s="12" t="s">
        <v>366</v>
      </c>
      <c r="C63" s="405">
        <f>'- 60 -'!E63</f>
        <v>661152</v>
      </c>
      <c r="D63" s="405">
        <v>2727335</v>
      </c>
      <c r="E63" s="405">
        <f t="shared" si="0"/>
        <v>3388487</v>
      </c>
      <c r="F63" s="405">
        <v>0</v>
      </c>
      <c r="G63" s="405">
        <f t="shared" si="1"/>
        <v>3388487</v>
      </c>
      <c r="H63" s="351">
        <f>G63/'- 44 -'!J63</f>
        <v>0.39375861441058635</v>
      </c>
    </row>
    <row r="64" spans="1:8" ht="4.5" customHeight="1">
      <c r="A64" s="15"/>
      <c r="B64" s="15"/>
      <c r="C64" s="412"/>
      <c r="D64" s="412"/>
      <c r="E64" s="412"/>
      <c r="F64" s="412"/>
      <c r="G64" s="412"/>
      <c r="H64" s="194"/>
    </row>
    <row r="65" spans="1:8" ht="12.75">
      <c r="A65" s="17"/>
      <c r="B65" s="18" t="s">
        <v>167</v>
      </c>
      <c r="C65" s="407">
        <f>SUM(C11:C63)</f>
        <v>741390595.12</v>
      </c>
      <c r="D65" s="407">
        <f>SUM(D11:D63)</f>
        <v>45140227.61</v>
      </c>
      <c r="E65" s="407">
        <f>SUM(E11:E63)</f>
        <v>786530822.73</v>
      </c>
      <c r="F65" s="407">
        <f>SUM(F11:F63)</f>
        <v>3339376</v>
      </c>
      <c r="G65" s="407">
        <f>SUM(G11:G63)</f>
        <v>789870198.73</v>
      </c>
      <c r="H65" s="100">
        <f>G65/'- 44 -'!$J65</f>
        <v>0.5905280324815327</v>
      </c>
    </row>
    <row r="66" spans="1:8" ht="4.5" customHeight="1">
      <c r="A66" s="15"/>
      <c r="B66" s="15"/>
      <c r="C66" s="412"/>
      <c r="D66" s="412"/>
      <c r="E66" s="412"/>
      <c r="F66" s="412"/>
      <c r="G66" s="412"/>
      <c r="H66" s="194"/>
    </row>
    <row r="67" spans="1:8" ht="12.75">
      <c r="A67" s="13">
        <v>2155</v>
      </c>
      <c r="B67" s="14" t="s">
        <v>168</v>
      </c>
      <c r="C67" s="406">
        <f>'- 60 -'!E67</f>
        <v>242931</v>
      </c>
      <c r="D67" s="406">
        <v>0</v>
      </c>
      <c r="E67" s="406">
        <f>SUM(C67,D67)</f>
        <v>242931</v>
      </c>
      <c r="F67" s="406">
        <v>0</v>
      </c>
      <c r="G67" s="406">
        <f>SUM(E67,F67)</f>
        <v>242931</v>
      </c>
      <c r="H67" s="352">
        <f>G67/'- 44 -'!J67</f>
        <v>0.17367870180119507</v>
      </c>
    </row>
    <row r="68" spans="1:8" ht="12.75">
      <c r="A68" s="11">
        <v>2408</v>
      </c>
      <c r="B68" s="12" t="s">
        <v>170</v>
      </c>
      <c r="C68" s="405">
        <f>'- 60 -'!E68</f>
        <v>435678</v>
      </c>
      <c r="D68" s="405">
        <v>25270</v>
      </c>
      <c r="E68" s="405">
        <f>SUM(C68,D68)</f>
        <v>460948</v>
      </c>
      <c r="F68" s="405">
        <v>2630</v>
      </c>
      <c r="G68" s="405">
        <f>SUM(E68,F68)</f>
        <v>463578</v>
      </c>
      <c r="H68" s="351">
        <f>G68/'- 44 -'!J68</f>
        <v>0.19595930988276122</v>
      </c>
    </row>
    <row r="69" ht="6.75" customHeight="1"/>
    <row r="70" spans="1:8" ht="12" customHeight="1">
      <c r="A70" s="380" t="s">
        <v>354</v>
      </c>
      <c r="B70" s="267" t="s">
        <v>450</v>
      </c>
      <c r="D70" s="121"/>
      <c r="E70" s="179"/>
      <c r="F70" s="179"/>
      <c r="G70" s="179"/>
      <c r="H70" s="179"/>
    </row>
    <row r="71" spans="1:8" ht="12" customHeight="1">
      <c r="A71" s="380" t="s">
        <v>355</v>
      </c>
      <c r="B71" s="267" t="s">
        <v>444</v>
      </c>
      <c r="D71" s="121"/>
      <c r="E71" s="179"/>
      <c r="F71" s="179"/>
      <c r="G71" s="179"/>
      <c r="H71" s="179"/>
    </row>
    <row r="72" spans="1:8" ht="12" customHeight="1">
      <c r="A72" s="380" t="s">
        <v>356</v>
      </c>
      <c r="B72" s="267" t="s">
        <v>329</v>
      </c>
      <c r="D72" s="121"/>
      <c r="E72" s="179"/>
      <c r="F72" s="179"/>
      <c r="G72" s="179"/>
      <c r="H72" s="179"/>
    </row>
    <row r="73" spans="1:8" ht="12" customHeight="1">
      <c r="A73" s="4"/>
      <c r="B73" s="4"/>
      <c r="D73" s="121"/>
      <c r="E73" s="120"/>
      <c r="F73" s="120"/>
      <c r="G73" s="120"/>
      <c r="H73" s="120"/>
    </row>
    <row r="74" spans="1:8" ht="12" customHeight="1">
      <c r="A74" s="4"/>
      <c r="B74" s="4"/>
      <c r="D74" s="170"/>
      <c r="E74" s="126"/>
      <c r="F74" s="126"/>
      <c r="G74" s="126"/>
      <c r="H74" s="126"/>
    </row>
    <row r="75" spans="3:8" ht="12" customHeight="1">
      <c r="C75" s="126"/>
      <c r="D75" s="126"/>
      <c r="E75" s="126"/>
      <c r="F75" s="126"/>
      <c r="G75" s="126"/>
      <c r="H75" s="126"/>
    </row>
    <row r="76" spans="3:8" ht="12.75">
      <c r="C76" s="126"/>
      <c r="D76" s="126"/>
      <c r="E76" s="126"/>
      <c r="F76" s="126"/>
      <c r="G76" s="170"/>
      <c r="H76" s="17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79" customWidth="1"/>
    <col min="2" max="2" width="32.83203125" style="79" customWidth="1"/>
    <col min="3" max="3" width="16.83203125" style="79" customWidth="1"/>
    <col min="4" max="4" width="8.83203125" style="79" customWidth="1"/>
    <col min="5" max="5" width="15.83203125" style="79" customWidth="1"/>
    <col min="6" max="6" width="8.83203125" style="79" customWidth="1"/>
    <col min="7" max="7" width="15.83203125" style="79" customWidth="1"/>
    <col min="8" max="8" width="8.83203125" style="79" customWidth="1"/>
    <col min="9" max="9" width="15.83203125" style="79" customWidth="1"/>
    <col min="10" max="10" width="8.83203125" style="79" customWidth="1"/>
    <col min="11" max="16384" width="15.83203125" style="79" customWidth="1"/>
  </cols>
  <sheetData>
    <row r="1" spans="1:2" ht="6.75" customHeight="1">
      <c r="A1" s="15"/>
      <c r="B1" s="77"/>
    </row>
    <row r="2" spans="1:10" ht="12.75">
      <c r="A2" s="9"/>
      <c r="B2" s="103"/>
      <c r="C2" s="104" t="str">
        <f>REVYEAR</f>
        <v>ANALYSIS OF OPERATING FUND REVENUE: 2001/2002 ACTUAL</v>
      </c>
      <c r="D2" s="104"/>
      <c r="E2" s="104"/>
      <c r="F2" s="104"/>
      <c r="G2" s="104"/>
      <c r="H2" s="338"/>
      <c r="I2" s="338"/>
      <c r="J2" s="105" t="s">
        <v>4</v>
      </c>
    </row>
    <row r="3" spans="1:2" ht="12.75">
      <c r="A3" s="10"/>
      <c r="B3" s="106"/>
    </row>
    <row r="4" spans="1:10" ht="12.75">
      <c r="A4" s="8"/>
      <c r="C4" s="139"/>
      <c r="D4" s="139"/>
      <c r="E4" s="139"/>
      <c r="F4" s="139"/>
      <c r="G4" s="139"/>
      <c r="H4" s="139"/>
      <c r="I4" s="139"/>
      <c r="J4" s="150"/>
    </row>
    <row r="5" spans="1:10" ht="12.75">
      <c r="A5" s="8"/>
      <c r="C5" s="54"/>
      <c r="D5" s="139"/>
      <c r="E5" s="139"/>
      <c r="F5" s="139"/>
      <c r="G5" s="139"/>
      <c r="H5" s="139"/>
      <c r="I5" s="139"/>
      <c r="J5" s="139"/>
    </row>
    <row r="6" spans="1:10" ht="12.75">
      <c r="A6" s="8"/>
      <c r="C6" s="139"/>
      <c r="D6" s="139"/>
      <c r="E6" s="139"/>
      <c r="F6" s="139"/>
      <c r="G6" s="139"/>
      <c r="H6" s="139"/>
      <c r="I6" s="139"/>
      <c r="J6" s="139"/>
    </row>
    <row r="7" spans="1:10" ht="12.75">
      <c r="A7" s="15"/>
      <c r="C7" s="64" t="s">
        <v>188</v>
      </c>
      <c r="D7" s="63"/>
      <c r="E7" s="62" t="s">
        <v>189</v>
      </c>
      <c r="F7" s="63"/>
      <c r="G7" s="62" t="s">
        <v>190</v>
      </c>
      <c r="H7" s="63"/>
      <c r="I7" s="180"/>
      <c r="J7" s="63"/>
    </row>
    <row r="8" spans="1:10" ht="12.75">
      <c r="A8" s="91"/>
      <c r="B8" s="43"/>
      <c r="C8" s="65" t="s">
        <v>213</v>
      </c>
      <c r="D8" s="67"/>
      <c r="E8" s="66" t="s">
        <v>213</v>
      </c>
      <c r="F8" s="67"/>
      <c r="G8" s="66" t="s">
        <v>214</v>
      </c>
      <c r="H8" s="67"/>
      <c r="I8" s="66" t="s">
        <v>215</v>
      </c>
      <c r="J8" s="67"/>
    </row>
    <row r="9" spans="1:10" ht="12.75">
      <c r="A9" s="49" t="s">
        <v>101</v>
      </c>
      <c r="B9" s="50" t="s">
        <v>102</v>
      </c>
      <c r="C9" s="151" t="s">
        <v>217</v>
      </c>
      <c r="D9" s="151" t="s">
        <v>104</v>
      </c>
      <c r="E9" s="151" t="s">
        <v>217</v>
      </c>
      <c r="F9" s="151" t="s">
        <v>104</v>
      </c>
      <c r="G9" s="151" t="s">
        <v>217</v>
      </c>
      <c r="H9" s="151" t="s">
        <v>104</v>
      </c>
      <c r="I9" s="183" t="s">
        <v>217</v>
      </c>
      <c r="J9" s="183" t="s">
        <v>104</v>
      </c>
    </row>
    <row r="10" spans="1:10" ht="4.5" customHeight="1">
      <c r="A10" s="74"/>
      <c r="B10" s="74"/>
      <c r="C10" s="145"/>
      <c r="D10" s="145"/>
      <c r="E10" s="145"/>
      <c r="F10" s="145"/>
      <c r="G10" s="145"/>
      <c r="H10" s="145"/>
      <c r="I10" s="145"/>
      <c r="J10" s="145"/>
    </row>
    <row r="11" spans="1:10" ht="12.75">
      <c r="A11" s="11">
        <v>1</v>
      </c>
      <c r="B11" s="12" t="s">
        <v>116</v>
      </c>
      <c r="C11" s="405">
        <v>12000</v>
      </c>
      <c r="D11" s="351">
        <f>C11/'- 44 -'!J11</f>
        <v>4.9053948612922954E-05</v>
      </c>
      <c r="E11" s="405">
        <v>102316010</v>
      </c>
      <c r="F11" s="351">
        <f>E11/'- 44 -'!J11</f>
        <v>0.41825035806827593</v>
      </c>
      <c r="G11" s="405">
        <v>2364781</v>
      </c>
      <c r="H11" s="351">
        <f>G11/'- 44 -'!J11</f>
        <v>0.009666820471234714</v>
      </c>
      <c r="I11" s="405">
        <v>1457524</v>
      </c>
      <c r="J11" s="351">
        <f>I11/'- 44 -'!J11</f>
        <v>0.005958108949841827</v>
      </c>
    </row>
    <row r="12" spans="1:10" ht="12.75">
      <c r="A12" s="13">
        <v>2</v>
      </c>
      <c r="B12" s="14" t="s">
        <v>117</v>
      </c>
      <c r="C12" s="406">
        <v>16926</v>
      </c>
      <c r="D12" s="352">
        <f>C12/'- 44 -'!J12</f>
        <v>0.0002788190984921629</v>
      </c>
      <c r="E12" s="406">
        <v>25405000</v>
      </c>
      <c r="F12" s="352">
        <f>E12/'- 44 -'!J12</f>
        <v>0.41849221299736494</v>
      </c>
      <c r="G12" s="406">
        <v>747389</v>
      </c>
      <c r="H12" s="352">
        <f>G12/'- 44 -'!J12</f>
        <v>0.012311610965553535</v>
      </c>
      <c r="I12" s="406">
        <v>40002</v>
      </c>
      <c r="J12" s="352">
        <f>I12/'- 44 -'!J12</f>
        <v>0.0006589460934587913</v>
      </c>
    </row>
    <row r="13" spans="1:10" ht="12.75">
      <c r="A13" s="11">
        <v>3</v>
      </c>
      <c r="B13" s="12" t="s">
        <v>118</v>
      </c>
      <c r="C13" s="405">
        <v>25764</v>
      </c>
      <c r="D13" s="351">
        <f>C13/'- 44 -'!J13</f>
        <v>0.0005690900476766431</v>
      </c>
      <c r="E13" s="405">
        <v>22207756</v>
      </c>
      <c r="F13" s="351">
        <f>E13/'- 44 -'!J13</f>
        <v>0.49053768517432295</v>
      </c>
      <c r="G13" s="405">
        <v>330503</v>
      </c>
      <c r="H13" s="351">
        <f>G13/'- 44 -'!J13</f>
        <v>0.007300340320884706</v>
      </c>
      <c r="I13" s="405">
        <v>13870</v>
      </c>
      <c r="J13" s="351">
        <f>I13/'- 44 -'!J13</f>
        <v>0.00030636853599111315</v>
      </c>
    </row>
    <row r="14" spans="1:10" ht="12.75">
      <c r="A14" s="13">
        <v>4</v>
      </c>
      <c r="B14" s="14" t="s">
        <v>119</v>
      </c>
      <c r="C14" s="406">
        <v>13465</v>
      </c>
      <c r="D14" s="352">
        <f>C14/'- 44 -'!J14</f>
        <v>0.0003159040182944205</v>
      </c>
      <c r="E14" s="406">
        <v>17614842</v>
      </c>
      <c r="F14" s="352">
        <f>E14/'- 44 -'!J14</f>
        <v>0.4132639709930432</v>
      </c>
      <c r="G14" s="406">
        <v>428774</v>
      </c>
      <c r="H14" s="352">
        <f>G14/'- 44 -'!J14</f>
        <v>0.010059519460837121</v>
      </c>
      <c r="I14" s="406">
        <v>4970</v>
      </c>
      <c r="J14" s="352">
        <f>I14/'- 44 -'!J14</f>
        <v>0.00011660178023938134</v>
      </c>
    </row>
    <row r="15" spans="1:10" ht="12.75">
      <c r="A15" s="11">
        <v>5</v>
      </c>
      <c r="B15" s="12" t="s">
        <v>120</v>
      </c>
      <c r="C15" s="405">
        <v>0</v>
      </c>
      <c r="D15" s="351">
        <f>C15/'- 44 -'!J15</f>
        <v>0</v>
      </c>
      <c r="E15" s="405">
        <v>26376041</v>
      </c>
      <c r="F15" s="351">
        <f>E15/'- 44 -'!J15</f>
        <v>0.49936316906249295</v>
      </c>
      <c r="G15" s="405">
        <v>522917</v>
      </c>
      <c r="H15" s="351">
        <f>G15/'- 44 -'!J15</f>
        <v>0.009900101773296895</v>
      </c>
      <c r="I15" s="405">
        <v>26280</v>
      </c>
      <c r="J15" s="351">
        <f>I15/'- 44 -'!J15</f>
        <v>0.0004975448772983903</v>
      </c>
    </row>
    <row r="16" spans="1:10" ht="12.75">
      <c r="A16" s="13">
        <v>6</v>
      </c>
      <c r="B16" s="14" t="s">
        <v>121</v>
      </c>
      <c r="C16" s="406">
        <v>13139</v>
      </c>
      <c r="D16" s="352">
        <f>C16/'- 44 -'!J16</f>
        <v>0.00022012212044866648</v>
      </c>
      <c r="E16" s="406">
        <v>21623396</v>
      </c>
      <c r="F16" s="352">
        <f>E16/'- 44 -'!J16</f>
        <v>0.3622640824127569</v>
      </c>
      <c r="G16" s="406">
        <v>386030</v>
      </c>
      <c r="H16" s="352">
        <f>G16/'- 44 -'!J16</f>
        <v>0.006467291434416525</v>
      </c>
      <c r="I16" s="406">
        <v>0</v>
      </c>
      <c r="J16" s="352">
        <f>I16/'- 44 -'!J16</f>
        <v>0</v>
      </c>
    </row>
    <row r="17" spans="1:10" ht="12.75">
      <c r="A17" s="11">
        <v>9</v>
      </c>
      <c r="B17" s="12" t="s">
        <v>122</v>
      </c>
      <c r="C17" s="405">
        <v>24562</v>
      </c>
      <c r="D17" s="351">
        <f>C17/'- 44 -'!J17</f>
        <v>0.00029161741224986655</v>
      </c>
      <c r="E17" s="405">
        <v>29840044</v>
      </c>
      <c r="F17" s="351">
        <f>E17/'- 44 -'!J17</f>
        <v>0.3542820785238237</v>
      </c>
      <c r="G17" s="405">
        <v>771624</v>
      </c>
      <c r="H17" s="351">
        <f>G17/'- 44 -'!J17</f>
        <v>0.009161265129463848</v>
      </c>
      <c r="I17" s="405">
        <v>21105</v>
      </c>
      <c r="J17" s="351">
        <f>I17/'- 44 -'!J17</f>
        <v>0.0002505734665553877</v>
      </c>
    </row>
    <row r="18" spans="1:10" ht="12.75">
      <c r="A18" s="13">
        <v>10</v>
      </c>
      <c r="B18" s="14" t="s">
        <v>123</v>
      </c>
      <c r="C18" s="406">
        <v>11222</v>
      </c>
      <c r="D18" s="352">
        <f>C18/'- 44 -'!J18</f>
        <v>0.00017525822382247005</v>
      </c>
      <c r="E18" s="406">
        <v>24334375</v>
      </c>
      <c r="F18" s="352">
        <f>E18/'- 44 -'!J18</f>
        <v>0.3800391499135555</v>
      </c>
      <c r="G18" s="406">
        <v>822353</v>
      </c>
      <c r="H18" s="352">
        <f>G18/'- 44 -'!J18</f>
        <v>0.012842998229823535</v>
      </c>
      <c r="I18" s="406">
        <v>84902</v>
      </c>
      <c r="J18" s="352">
        <f>I18/'- 44 -'!J18</f>
        <v>0.0013259466867737793</v>
      </c>
    </row>
    <row r="19" spans="1:10" ht="12.75">
      <c r="A19" s="11">
        <v>11</v>
      </c>
      <c r="B19" s="12" t="s">
        <v>124</v>
      </c>
      <c r="C19" s="405">
        <v>4025</v>
      </c>
      <c r="D19" s="351">
        <f>C19/'- 44 -'!J19</f>
        <v>0.00012065638512391006</v>
      </c>
      <c r="E19" s="405">
        <v>12666408</v>
      </c>
      <c r="F19" s="351">
        <f>E19/'- 44 -'!J19</f>
        <v>0.3796976401949256</v>
      </c>
      <c r="G19" s="405">
        <v>239421</v>
      </c>
      <c r="H19" s="351">
        <f>G19/'- 44 -'!J19</f>
        <v>0.00717706146155321</v>
      </c>
      <c r="I19" s="405">
        <v>215988</v>
      </c>
      <c r="J19" s="351">
        <f>I19/'- 44 -'!J19</f>
        <v>0.006474616474569711</v>
      </c>
    </row>
    <row r="20" spans="1:10" ht="12.75">
      <c r="A20" s="13">
        <v>12</v>
      </c>
      <c r="B20" s="14" t="s">
        <v>125</v>
      </c>
      <c r="C20" s="406">
        <v>7263</v>
      </c>
      <c r="D20" s="352">
        <f>C20/'- 44 -'!J20</f>
        <v>0.0001388987059528738</v>
      </c>
      <c r="E20" s="406">
        <v>19218394</v>
      </c>
      <c r="F20" s="352">
        <f>E20/'- 44 -'!J20</f>
        <v>0.3675354615300116</v>
      </c>
      <c r="G20" s="406">
        <v>134588</v>
      </c>
      <c r="H20" s="352">
        <f>G20/'- 44 -'!J20</f>
        <v>0.0025738811836411098</v>
      </c>
      <c r="I20" s="406">
        <v>0</v>
      </c>
      <c r="J20" s="352">
        <f>I20/'- 44 -'!J20</f>
        <v>0</v>
      </c>
    </row>
    <row r="21" spans="1:10" ht="12.75">
      <c r="A21" s="11">
        <v>13</v>
      </c>
      <c r="B21" s="12" t="s">
        <v>126</v>
      </c>
      <c r="C21" s="405">
        <v>15457</v>
      </c>
      <c r="D21" s="351">
        <f>C21/'- 44 -'!J21</f>
        <v>0.0007327090963428606</v>
      </c>
      <c r="E21" s="405">
        <v>8047596</v>
      </c>
      <c r="F21" s="351">
        <f>E21/'- 44 -'!J21</f>
        <v>0.3814806749623096</v>
      </c>
      <c r="G21" s="405">
        <v>204818</v>
      </c>
      <c r="H21" s="351">
        <f>G21/'- 44 -'!J21</f>
        <v>0.00970899991555619</v>
      </c>
      <c r="I21" s="405">
        <v>330978</v>
      </c>
      <c r="J21" s="351">
        <f>I21/'- 44 -'!J21</f>
        <v>0.01568936994820258</v>
      </c>
    </row>
    <row r="22" spans="1:10" ht="12.75">
      <c r="A22" s="13">
        <v>14</v>
      </c>
      <c r="B22" s="14" t="s">
        <v>127</v>
      </c>
      <c r="C22" s="406">
        <v>19732</v>
      </c>
      <c r="D22" s="352">
        <f>C22/'- 44 -'!J22</f>
        <v>0.0008001565276807646</v>
      </c>
      <c r="E22" s="406">
        <v>7983101</v>
      </c>
      <c r="F22" s="352">
        <f>E22/'- 44 -'!J22</f>
        <v>0.32372442612430774</v>
      </c>
      <c r="G22" s="406">
        <v>145423</v>
      </c>
      <c r="H22" s="352">
        <f>G22/'- 44 -'!J22</f>
        <v>0.00589707899477599</v>
      </c>
      <c r="I22" s="406">
        <v>0</v>
      </c>
      <c r="J22" s="352">
        <f>I22/'- 44 -'!J22</f>
        <v>0</v>
      </c>
    </row>
    <row r="23" spans="1:10" ht="12.75">
      <c r="A23" s="11">
        <v>15</v>
      </c>
      <c r="B23" s="12" t="s">
        <v>128</v>
      </c>
      <c r="C23" s="405">
        <v>0</v>
      </c>
      <c r="D23" s="351">
        <f>C23/'- 44 -'!J23</f>
        <v>0</v>
      </c>
      <c r="E23" s="405">
        <v>7303200</v>
      </c>
      <c r="F23" s="351">
        <f>E23/'- 44 -'!J23</f>
        <v>0.22562680858738748</v>
      </c>
      <c r="G23" s="405">
        <v>247840</v>
      </c>
      <c r="H23" s="351">
        <f>G23/'- 44 -'!J23</f>
        <v>0.007656828272578885</v>
      </c>
      <c r="I23" s="405">
        <v>0</v>
      </c>
      <c r="J23" s="351">
        <f>I23/'- 44 -'!J23</f>
        <v>0</v>
      </c>
    </row>
    <row r="24" spans="1:10" ht="12.75">
      <c r="A24" s="13">
        <v>16</v>
      </c>
      <c r="B24" s="14" t="s">
        <v>129</v>
      </c>
      <c r="C24" s="406">
        <v>0</v>
      </c>
      <c r="D24" s="352">
        <f>C24/'- 44 -'!J24</f>
        <v>0</v>
      </c>
      <c r="E24" s="406">
        <v>2244006</v>
      </c>
      <c r="F24" s="352">
        <f>E24/'- 44 -'!J24</f>
        <v>0.3531936892848745</v>
      </c>
      <c r="G24" s="406">
        <v>123133</v>
      </c>
      <c r="H24" s="352">
        <f>G24/'- 44 -'!J24</f>
        <v>0.019380428814679843</v>
      </c>
      <c r="I24" s="406">
        <v>139379</v>
      </c>
      <c r="J24" s="352">
        <f>I24/'- 44 -'!J24</f>
        <v>0.021937456147103226</v>
      </c>
    </row>
    <row r="25" spans="1:10" ht="12.75">
      <c r="A25" s="11">
        <v>17</v>
      </c>
      <c r="B25" s="12" t="s">
        <v>130</v>
      </c>
      <c r="C25" s="405">
        <v>16486</v>
      </c>
      <c r="D25" s="351">
        <f>C25/'- 44 -'!J25</f>
        <v>0.003781598471168048</v>
      </c>
      <c r="E25" s="405">
        <v>1486982</v>
      </c>
      <c r="F25" s="351">
        <f>E25/'- 44 -'!J25</f>
        <v>0.34108752019012534</v>
      </c>
      <c r="G25" s="405">
        <v>146835</v>
      </c>
      <c r="H25" s="351">
        <f>G25/'- 44 -'!J25</f>
        <v>0.0336813667059299</v>
      </c>
      <c r="I25" s="405">
        <v>-26444</v>
      </c>
      <c r="J25" s="351">
        <f>I25/'- 44 -'!J25</f>
        <v>-0.0060657885461341664</v>
      </c>
    </row>
    <row r="26" spans="1:10" ht="12.75">
      <c r="A26" s="13">
        <v>18</v>
      </c>
      <c r="B26" s="14" t="s">
        <v>131</v>
      </c>
      <c r="C26" s="406">
        <v>30757</v>
      </c>
      <c r="D26" s="352">
        <f>C26/'- 44 -'!J26</f>
        <v>0.0031670018119364985</v>
      </c>
      <c r="E26" s="406">
        <v>3046624</v>
      </c>
      <c r="F26" s="352">
        <f>E26/'- 44 -'!J26</f>
        <v>0.3137062694114908</v>
      </c>
      <c r="G26" s="406">
        <v>202244</v>
      </c>
      <c r="H26" s="352">
        <f>G26/'- 44 -'!J26</f>
        <v>0.020824759061458697</v>
      </c>
      <c r="I26" s="406">
        <v>0</v>
      </c>
      <c r="J26" s="352">
        <f>I26/'- 44 -'!J26</f>
        <v>0</v>
      </c>
    </row>
    <row r="27" spans="1:10" ht="12.75">
      <c r="A27" s="11">
        <v>19</v>
      </c>
      <c r="B27" s="12" t="s">
        <v>132</v>
      </c>
      <c r="C27" s="405">
        <v>1671</v>
      </c>
      <c r="D27" s="351">
        <f>C27/'- 44 -'!J27</f>
        <v>0.00010568236561026253</v>
      </c>
      <c r="E27" s="405">
        <v>5070849</v>
      </c>
      <c r="F27" s="351">
        <f>E27/'- 44 -'!J27</f>
        <v>0.3207057558183328</v>
      </c>
      <c r="G27" s="405">
        <v>287376</v>
      </c>
      <c r="H27" s="351">
        <f>G27/'- 44 -'!J27</f>
        <v>0.018175090065598327</v>
      </c>
      <c r="I27" s="405">
        <v>0</v>
      </c>
      <c r="J27" s="351">
        <f>I27/'- 44 -'!J27</f>
        <v>0</v>
      </c>
    </row>
    <row r="28" spans="1:10" ht="12.75">
      <c r="A28" s="13">
        <v>20</v>
      </c>
      <c r="B28" s="14" t="s">
        <v>133</v>
      </c>
      <c r="C28" s="406">
        <v>43990</v>
      </c>
      <c r="D28" s="352">
        <f>C28/'- 44 -'!J28</f>
        <v>0.005407130898170045</v>
      </c>
      <c r="E28" s="406">
        <v>3323233</v>
      </c>
      <c r="F28" s="352">
        <f>E28/'- 44 -'!J28</f>
        <v>0.4084827423532242</v>
      </c>
      <c r="G28" s="406">
        <v>29871</v>
      </c>
      <c r="H28" s="352">
        <f>G28/'- 44 -'!J28</f>
        <v>0.003671661901778527</v>
      </c>
      <c r="I28" s="406">
        <v>0</v>
      </c>
      <c r="J28" s="352">
        <f>I28/'- 44 -'!J28</f>
        <v>0</v>
      </c>
    </row>
    <row r="29" spans="1:10" ht="12.75">
      <c r="A29" s="11">
        <v>21</v>
      </c>
      <c r="B29" s="12" t="s">
        <v>134</v>
      </c>
      <c r="C29" s="405">
        <v>0</v>
      </c>
      <c r="D29" s="351">
        <f>C29/'- 44 -'!J29</f>
        <v>0</v>
      </c>
      <c r="E29" s="405">
        <v>8000000</v>
      </c>
      <c r="F29" s="351">
        <f>E29/'- 44 -'!J29</f>
        <v>0.3391721968340056</v>
      </c>
      <c r="G29" s="405">
        <v>36797</v>
      </c>
      <c r="H29" s="351">
        <f>G29/'- 44 -'!J29</f>
        <v>0.001560064915862613</v>
      </c>
      <c r="I29" s="405">
        <v>6731</v>
      </c>
      <c r="J29" s="351">
        <f>I29/'- 44 -'!J29</f>
        <v>0.00028537100711121144</v>
      </c>
    </row>
    <row r="30" spans="1:10" ht="12.75">
      <c r="A30" s="13">
        <v>22</v>
      </c>
      <c r="B30" s="14" t="s">
        <v>135</v>
      </c>
      <c r="C30" s="406">
        <v>67785</v>
      </c>
      <c r="D30" s="352">
        <f>C30/'- 44 -'!J30</f>
        <v>0.005357552299266067</v>
      </c>
      <c r="E30" s="406">
        <v>5269557</v>
      </c>
      <c r="F30" s="352">
        <f>E30/'- 44 -'!J30</f>
        <v>0.41649225081454</v>
      </c>
      <c r="G30" s="406">
        <v>49871</v>
      </c>
      <c r="H30" s="352">
        <f>G30/'- 44 -'!J30</f>
        <v>0.00394167575004349</v>
      </c>
      <c r="I30" s="406">
        <v>129960</v>
      </c>
      <c r="J30" s="352">
        <f>I30/'- 44 -'!J30</f>
        <v>0.010271704607400133</v>
      </c>
    </row>
    <row r="31" spans="1:10" ht="12.75">
      <c r="A31" s="11">
        <v>23</v>
      </c>
      <c r="B31" s="12" t="s">
        <v>136</v>
      </c>
      <c r="C31" s="405">
        <v>0</v>
      </c>
      <c r="D31" s="351">
        <f>C31/'- 44 -'!J31</f>
        <v>0</v>
      </c>
      <c r="E31" s="405">
        <v>2626117</v>
      </c>
      <c r="F31" s="351">
        <f>E31/'- 44 -'!J31</f>
        <v>0.24930996620130247</v>
      </c>
      <c r="G31" s="405">
        <v>93221</v>
      </c>
      <c r="H31" s="351">
        <f>G31/'- 44 -'!J31</f>
        <v>0.008849919618680972</v>
      </c>
      <c r="I31" s="405">
        <v>223465</v>
      </c>
      <c r="J31" s="351">
        <f>I31/'- 44 -'!J31</f>
        <v>0.02121461138143276</v>
      </c>
    </row>
    <row r="32" spans="1:10" ht="12.75">
      <c r="A32" s="13">
        <v>24</v>
      </c>
      <c r="B32" s="14" t="s">
        <v>137</v>
      </c>
      <c r="C32" s="406">
        <v>17608</v>
      </c>
      <c r="D32" s="352">
        <f>C32/'- 44 -'!J32</f>
        <v>0.0007542978764638457</v>
      </c>
      <c r="E32" s="406">
        <v>7957404</v>
      </c>
      <c r="F32" s="352">
        <f>E32/'- 44 -'!J32</f>
        <v>0.34088215239464514</v>
      </c>
      <c r="G32" s="406">
        <v>12503</v>
      </c>
      <c r="H32" s="352">
        <f>G32/'- 44 -'!J32</f>
        <v>0.0005356080389270481</v>
      </c>
      <c r="I32" s="406">
        <v>514597</v>
      </c>
      <c r="J32" s="352">
        <f>I32/'- 44 -'!J32</f>
        <v>0.022044492522413996</v>
      </c>
    </row>
    <row r="33" spans="1:10" ht="12.75">
      <c r="A33" s="11">
        <v>25</v>
      </c>
      <c r="B33" s="12" t="s">
        <v>138</v>
      </c>
      <c r="C33" s="405">
        <v>23018</v>
      </c>
      <c r="D33" s="351">
        <f>C33/'- 44 -'!J33</f>
        <v>0.0021075216953051743</v>
      </c>
      <c r="E33" s="405">
        <v>3799183</v>
      </c>
      <c r="F33" s="351">
        <f>E33/'- 44 -'!J33</f>
        <v>0.34785214166889383</v>
      </c>
      <c r="G33" s="405">
        <v>51976</v>
      </c>
      <c r="H33" s="351">
        <f>G33/'- 44 -'!J33</f>
        <v>0.004758908142982959</v>
      </c>
      <c r="I33" s="405">
        <v>0</v>
      </c>
      <c r="J33" s="351">
        <f>I33/'- 44 -'!J33</f>
        <v>0</v>
      </c>
    </row>
    <row r="34" spans="1:10" ht="12.75">
      <c r="A34" s="13">
        <v>26</v>
      </c>
      <c r="B34" s="14" t="s">
        <v>139</v>
      </c>
      <c r="C34" s="406">
        <v>10000</v>
      </c>
      <c r="D34" s="352">
        <f>C34/'- 44 -'!J34</f>
        <v>0.0006079356269123375</v>
      </c>
      <c r="E34" s="406">
        <v>4416000</v>
      </c>
      <c r="F34" s="352">
        <f>E34/'- 44 -'!J34</f>
        <v>0.26846437284448826</v>
      </c>
      <c r="G34" s="406">
        <v>135745</v>
      </c>
      <c r="H34" s="352">
        <f>G34/'- 44 -'!J34</f>
        <v>0.008252422167521525</v>
      </c>
      <c r="I34" s="406">
        <v>0</v>
      </c>
      <c r="J34" s="352">
        <f>I34/'- 44 -'!J34</f>
        <v>0</v>
      </c>
    </row>
    <row r="35" spans="1:10" ht="12.75">
      <c r="A35" s="11">
        <v>28</v>
      </c>
      <c r="B35" s="12" t="s">
        <v>140</v>
      </c>
      <c r="C35" s="405">
        <v>15277</v>
      </c>
      <c r="D35" s="351">
        <f>C35/'- 44 -'!J35</f>
        <v>0.0023434606554922533</v>
      </c>
      <c r="E35" s="405">
        <v>1827943</v>
      </c>
      <c r="F35" s="351">
        <f>E35/'- 44 -'!J35</f>
        <v>0.2804027296578174</v>
      </c>
      <c r="G35" s="405">
        <v>70799</v>
      </c>
      <c r="H35" s="351">
        <f>G35/'- 44 -'!J35</f>
        <v>0.01086042226537907</v>
      </c>
      <c r="I35" s="405">
        <v>133526</v>
      </c>
      <c r="J35" s="351">
        <f>I35/'- 44 -'!J35</f>
        <v>0.020482616186768252</v>
      </c>
    </row>
    <row r="36" spans="1:10" ht="12.75">
      <c r="A36" s="13">
        <v>30</v>
      </c>
      <c r="B36" s="14" t="s">
        <v>141</v>
      </c>
      <c r="C36" s="406">
        <v>4408</v>
      </c>
      <c r="D36" s="352">
        <f>C36/'- 44 -'!J36</f>
        <v>0.000460963608449898</v>
      </c>
      <c r="E36" s="406">
        <v>3053486</v>
      </c>
      <c r="F36" s="352">
        <f>E36/'- 44 -'!J36</f>
        <v>0.31931622615953836</v>
      </c>
      <c r="G36" s="406">
        <v>38983</v>
      </c>
      <c r="H36" s="352">
        <f>G36/'- 44 -'!J36</f>
        <v>0.004076620768648451</v>
      </c>
      <c r="I36" s="406">
        <v>1150</v>
      </c>
      <c r="J36" s="352">
        <f>I36/'- 44 -'!J36</f>
        <v>0.00012026046953661131</v>
      </c>
    </row>
    <row r="37" spans="1:10" ht="12.75">
      <c r="A37" s="11">
        <v>31</v>
      </c>
      <c r="B37" s="12" t="s">
        <v>142</v>
      </c>
      <c r="C37" s="405">
        <v>0</v>
      </c>
      <c r="D37" s="351">
        <f>C37/'- 44 -'!J37</f>
        <v>0</v>
      </c>
      <c r="E37" s="405">
        <v>3661046</v>
      </c>
      <c r="F37" s="351">
        <f>E37/'- 44 -'!J37</f>
        <v>0.3285642899169634</v>
      </c>
      <c r="G37" s="405">
        <v>62160</v>
      </c>
      <c r="H37" s="351">
        <f>G37/'- 44 -'!J37</f>
        <v>0.005578612304035089</v>
      </c>
      <c r="I37" s="405">
        <v>0</v>
      </c>
      <c r="J37" s="351">
        <f>I37/'- 44 -'!J37</f>
        <v>0</v>
      </c>
    </row>
    <row r="38" spans="1:10" ht="12.75">
      <c r="A38" s="13">
        <v>32</v>
      </c>
      <c r="B38" s="14" t="s">
        <v>143</v>
      </c>
      <c r="C38" s="406">
        <v>17600</v>
      </c>
      <c r="D38" s="352">
        <f>C38/'- 44 -'!J38</f>
        <v>0.0026345416249343796</v>
      </c>
      <c r="E38" s="406">
        <v>1812354</v>
      </c>
      <c r="F38" s="352">
        <f>E38/'- 44 -'!J38</f>
        <v>0.27129102568842745</v>
      </c>
      <c r="G38" s="406">
        <v>38958</v>
      </c>
      <c r="H38" s="352">
        <f>G38/'- 44 -'!J38</f>
        <v>0.005831617762738271</v>
      </c>
      <c r="I38" s="406">
        <v>7790</v>
      </c>
      <c r="J38" s="352">
        <f>I38/'- 44 -'!J38</f>
        <v>0.001166084048763569</v>
      </c>
    </row>
    <row r="39" spans="1:10" ht="12.75">
      <c r="A39" s="11">
        <v>33</v>
      </c>
      <c r="B39" s="12" t="s">
        <v>144</v>
      </c>
      <c r="C39" s="405">
        <v>57697</v>
      </c>
      <c r="D39" s="351">
        <f>C39/'- 44 -'!J39</f>
        <v>0.0043407482484884834</v>
      </c>
      <c r="E39" s="405">
        <v>4096553</v>
      </c>
      <c r="F39" s="351">
        <f>E39/'- 44 -'!J39</f>
        <v>0.3081980910548251</v>
      </c>
      <c r="G39" s="405">
        <v>121175</v>
      </c>
      <c r="H39" s="351">
        <f>G39/'- 44 -'!J39</f>
        <v>0.009116421460571468</v>
      </c>
      <c r="I39" s="405">
        <v>142110</v>
      </c>
      <c r="J39" s="351">
        <f>I39/'- 44 -'!J39</f>
        <v>0.010691435145548267</v>
      </c>
    </row>
    <row r="40" spans="1:10" ht="12.75">
      <c r="A40" s="13">
        <v>34</v>
      </c>
      <c r="B40" s="14" t="s">
        <v>145</v>
      </c>
      <c r="C40" s="406">
        <v>61638</v>
      </c>
      <c r="D40" s="352">
        <f>C40/'- 44 -'!J40</f>
        <v>0.010663609564573722</v>
      </c>
      <c r="E40" s="406">
        <v>1041747</v>
      </c>
      <c r="F40" s="352">
        <f>E40/'- 44 -'!J40</f>
        <v>0.18022621228894484</v>
      </c>
      <c r="G40" s="406">
        <v>39254</v>
      </c>
      <c r="H40" s="352">
        <f>G40/'- 44 -'!J40</f>
        <v>0.00679109201868615</v>
      </c>
      <c r="I40" s="406">
        <v>256648</v>
      </c>
      <c r="J40" s="352">
        <f>I40/'- 44 -'!J40</f>
        <v>0.044401084842608726</v>
      </c>
    </row>
    <row r="41" spans="1:10" ht="12.75">
      <c r="A41" s="11">
        <v>35</v>
      </c>
      <c r="B41" s="12" t="s">
        <v>146</v>
      </c>
      <c r="C41" s="405">
        <v>23219</v>
      </c>
      <c r="D41" s="351">
        <f>C41/'- 44 -'!J41</f>
        <v>0.0016012041132167645</v>
      </c>
      <c r="E41" s="405">
        <v>4228759</v>
      </c>
      <c r="F41" s="351">
        <f>E41/'- 44 -'!J41</f>
        <v>0.29161920429830795</v>
      </c>
      <c r="G41" s="405">
        <v>86773</v>
      </c>
      <c r="H41" s="351">
        <f>G41/'- 44 -'!J41</f>
        <v>0.005983947823599565</v>
      </c>
      <c r="I41" s="405">
        <v>423162</v>
      </c>
      <c r="J41" s="351">
        <f>I41/'- 44 -'!J41</f>
        <v>0.029181650155348314</v>
      </c>
    </row>
    <row r="42" spans="1:10" ht="12.75">
      <c r="A42" s="13">
        <v>36</v>
      </c>
      <c r="B42" s="14" t="s">
        <v>147</v>
      </c>
      <c r="C42" s="406">
        <v>52591</v>
      </c>
      <c r="D42" s="352">
        <f>C42/'- 44 -'!J42</f>
        <v>0.006887281610600581</v>
      </c>
      <c r="E42" s="406">
        <v>2746472</v>
      </c>
      <c r="F42" s="352">
        <f>E42/'- 44 -'!J42</f>
        <v>0.35967610617081625</v>
      </c>
      <c r="G42" s="406">
        <v>0</v>
      </c>
      <c r="H42" s="352">
        <f>G42/'- 44 -'!J42</f>
        <v>0</v>
      </c>
      <c r="I42" s="406">
        <v>134616</v>
      </c>
      <c r="J42" s="352">
        <f>I42/'- 44 -'!J42</f>
        <v>0.01762921985306626</v>
      </c>
    </row>
    <row r="43" spans="1:10" ht="12.75">
      <c r="A43" s="11">
        <v>37</v>
      </c>
      <c r="B43" s="12" t="s">
        <v>148</v>
      </c>
      <c r="C43" s="405">
        <v>0</v>
      </c>
      <c r="D43" s="351">
        <f>C43/'- 44 -'!J43</f>
        <v>0</v>
      </c>
      <c r="E43" s="405">
        <v>2319778</v>
      </c>
      <c r="F43" s="351">
        <f>E43/'- 44 -'!J43</f>
        <v>0.33112642146407</v>
      </c>
      <c r="G43" s="405">
        <v>7310</v>
      </c>
      <c r="H43" s="351">
        <f>G43/'- 44 -'!J43</f>
        <v>0.0010434335272178422</v>
      </c>
      <c r="I43" s="405">
        <v>333261</v>
      </c>
      <c r="J43" s="351">
        <f>I43/'- 44 -'!J43</f>
        <v>0.04756986329878869</v>
      </c>
    </row>
    <row r="44" spans="1:10" ht="12.75">
      <c r="A44" s="13">
        <v>38</v>
      </c>
      <c r="B44" s="14" t="s">
        <v>149</v>
      </c>
      <c r="C44" s="406">
        <v>341703</v>
      </c>
      <c r="D44" s="352">
        <f>C44/'- 44 -'!J44</f>
        <v>0.036628905387414</v>
      </c>
      <c r="E44" s="406">
        <v>3277717</v>
      </c>
      <c r="F44" s="352">
        <f>E44/'- 44 -'!J44</f>
        <v>0.3513553755153407</v>
      </c>
      <c r="G44" s="406">
        <v>35775</v>
      </c>
      <c r="H44" s="352">
        <f>G44/'- 44 -'!J44</f>
        <v>0.003834906600863135</v>
      </c>
      <c r="I44" s="406">
        <v>192337</v>
      </c>
      <c r="J44" s="352">
        <f>I44/'- 44 -'!J44</f>
        <v>0.020617594154862695</v>
      </c>
    </row>
    <row r="45" spans="1:10" ht="12.75">
      <c r="A45" s="11">
        <v>39</v>
      </c>
      <c r="B45" s="12" t="s">
        <v>150</v>
      </c>
      <c r="C45" s="405">
        <v>15087</v>
      </c>
      <c r="D45" s="351">
        <f>C45/'- 44 -'!J45</f>
        <v>0.0009417584772463924</v>
      </c>
      <c r="E45" s="405">
        <v>5234170</v>
      </c>
      <c r="F45" s="351">
        <f>E45/'- 44 -'!J45</f>
        <v>0.326726583737572</v>
      </c>
      <c r="G45" s="405">
        <v>85424</v>
      </c>
      <c r="H45" s="351">
        <f>G45/'- 44 -'!J45</f>
        <v>0.005332324263292624</v>
      </c>
      <c r="I45" s="405">
        <v>758005</v>
      </c>
      <c r="J45" s="351">
        <f>I45/'- 44 -'!J45</f>
        <v>0.04731607573044022</v>
      </c>
    </row>
    <row r="46" spans="1:10" ht="12.75">
      <c r="A46" s="13">
        <v>40</v>
      </c>
      <c r="B46" s="14" t="s">
        <v>151</v>
      </c>
      <c r="C46" s="406">
        <v>15314</v>
      </c>
      <c r="D46" s="352">
        <f>C46/'- 44 -'!J46</f>
        <v>0.0003346677720857838</v>
      </c>
      <c r="E46" s="406">
        <v>16532000</v>
      </c>
      <c r="F46" s="352">
        <f>E46/'- 44 -'!J46</f>
        <v>0.36128559541087746</v>
      </c>
      <c r="G46" s="406">
        <v>170517</v>
      </c>
      <c r="H46" s="352">
        <f>G46/'- 44 -'!J46</f>
        <v>0.0037264297043719205</v>
      </c>
      <c r="I46" s="406">
        <v>431132</v>
      </c>
      <c r="J46" s="352">
        <f>I46/'- 44 -'!J46</f>
        <v>0.0094218353085339</v>
      </c>
    </row>
    <row r="47" spans="1:10" ht="12.75">
      <c r="A47" s="11">
        <v>41</v>
      </c>
      <c r="B47" s="12" t="s">
        <v>152</v>
      </c>
      <c r="C47" s="405">
        <v>0</v>
      </c>
      <c r="D47" s="351">
        <f>C47/'- 44 -'!J47</f>
        <v>0</v>
      </c>
      <c r="E47" s="405">
        <v>4714984</v>
      </c>
      <c r="F47" s="351">
        <f>E47/'- 44 -'!J47</f>
        <v>0.3776808825218627</v>
      </c>
      <c r="G47" s="405">
        <v>18434</v>
      </c>
      <c r="H47" s="351">
        <f>G47/'- 44 -'!J47</f>
        <v>0.0014766050931260884</v>
      </c>
      <c r="I47" s="405">
        <v>662922</v>
      </c>
      <c r="J47" s="351">
        <f>I47/'- 44 -'!J47</f>
        <v>0.05310155156478967</v>
      </c>
    </row>
    <row r="48" spans="1:10" ht="12.75">
      <c r="A48" s="13">
        <v>42</v>
      </c>
      <c r="B48" s="14" t="s">
        <v>153</v>
      </c>
      <c r="C48" s="406">
        <v>0</v>
      </c>
      <c r="D48" s="352">
        <f>C48/'- 44 -'!J48</f>
        <v>0</v>
      </c>
      <c r="E48" s="406">
        <v>3080226</v>
      </c>
      <c r="F48" s="352">
        <f>E48/'- 44 -'!J48</f>
        <v>0.37538132532058627</v>
      </c>
      <c r="G48" s="406">
        <v>22627</v>
      </c>
      <c r="H48" s="352">
        <f>G48/'- 44 -'!J48</f>
        <v>0.002757509756760999</v>
      </c>
      <c r="I48" s="406">
        <v>0</v>
      </c>
      <c r="J48" s="352">
        <f>I48/'- 44 -'!J48</f>
        <v>0</v>
      </c>
    </row>
    <row r="49" spans="1:10" ht="12.75">
      <c r="A49" s="11">
        <v>43</v>
      </c>
      <c r="B49" s="12" t="s">
        <v>154</v>
      </c>
      <c r="C49" s="405">
        <v>0</v>
      </c>
      <c r="D49" s="351">
        <f>C49/'- 44 -'!J49</f>
        <v>0</v>
      </c>
      <c r="E49" s="405">
        <v>2758333</v>
      </c>
      <c r="F49" s="351">
        <f>E49/'- 44 -'!J49</f>
        <v>0.43561239977820876</v>
      </c>
      <c r="G49" s="405">
        <v>7155</v>
      </c>
      <c r="H49" s="351">
        <f>G49/'- 44 -'!J49</f>
        <v>0.0011299602768821183</v>
      </c>
      <c r="I49" s="405">
        <v>0</v>
      </c>
      <c r="J49" s="351">
        <f>I49/'- 44 -'!J49</f>
        <v>0</v>
      </c>
    </row>
    <row r="50" spans="1:10" ht="12.75">
      <c r="A50" s="13">
        <v>44</v>
      </c>
      <c r="B50" s="14" t="s">
        <v>155</v>
      </c>
      <c r="C50" s="406">
        <v>341</v>
      </c>
      <c r="D50" s="352">
        <f>C50/'- 44 -'!J50</f>
        <v>3.5924675332063577E-05</v>
      </c>
      <c r="E50" s="406">
        <v>3383514</v>
      </c>
      <c r="F50" s="352">
        <f>E50/'- 44 -'!J50</f>
        <v>0.3564564279515887</v>
      </c>
      <c r="G50" s="406">
        <v>30574</v>
      </c>
      <c r="H50" s="352">
        <f>G50/'- 44 -'!J50</f>
        <v>0.0032210000692155768</v>
      </c>
      <c r="I50" s="406">
        <v>0</v>
      </c>
      <c r="J50" s="352">
        <f>I50/'- 44 -'!J50</f>
        <v>0</v>
      </c>
    </row>
    <row r="51" spans="1:10" ht="12.75">
      <c r="A51" s="11">
        <v>45</v>
      </c>
      <c r="B51" s="12" t="s">
        <v>156</v>
      </c>
      <c r="C51" s="405">
        <v>17633</v>
      </c>
      <c r="D51" s="351">
        <f>C51/'- 44 -'!J51</f>
        <v>0.0014262625958691042</v>
      </c>
      <c r="E51" s="405">
        <v>2910228</v>
      </c>
      <c r="F51" s="351">
        <f>E51/'- 44 -'!J51</f>
        <v>0.23539666204565027</v>
      </c>
      <c r="G51" s="405">
        <v>8213</v>
      </c>
      <c r="H51" s="351">
        <f>G51/'- 44 -'!J51</f>
        <v>0.0006643166052216272</v>
      </c>
      <c r="I51" s="405">
        <v>286170</v>
      </c>
      <c r="J51" s="351">
        <f>I51/'- 44 -'!J51</f>
        <v>0.023147142690402175</v>
      </c>
    </row>
    <row r="52" spans="1:10" ht="12.75">
      <c r="A52" s="13">
        <v>46</v>
      </c>
      <c r="B52" s="14" t="s">
        <v>157</v>
      </c>
      <c r="C52" s="406">
        <v>50594</v>
      </c>
      <c r="D52" s="352">
        <f>C52/'- 44 -'!J52</f>
        <v>0.0045911562392410375</v>
      </c>
      <c r="E52" s="406">
        <v>2843511</v>
      </c>
      <c r="F52" s="352">
        <f>E52/'- 44 -'!J52</f>
        <v>0.2580346141637451</v>
      </c>
      <c r="G52" s="406">
        <v>175334</v>
      </c>
      <c r="H52" s="352">
        <f>G52/'- 44 -'!J52</f>
        <v>0.015910696684410957</v>
      </c>
      <c r="I52" s="406">
        <v>33876</v>
      </c>
      <c r="J52" s="352">
        <f>I52/'- 44 -'!J52</f>
        <v>0.0030740801035800563</v>
      </c>
    </row>
    <row r="53" spans="1:10" ht="12.75">
      <c r="A53" s="11">
        <v>47</v>
      </c>
      <c r="B53" s="12" t="s">
        <v>158</v>
      </c>
      <c r="C53" s="405">
        <v>94587</v>
      </c>
      <c r="D53" s="351">
        <f>C53/'- 44 -'!J53</f>
        <v>0.010047212455412022</v>
      </c>
      <c r="E53" s="405">
        <v>3018788</v>
      </c>
      <c r="F53" s="351">
        <f>E53/'- 44 -'!J53</f>
        <v>0.3206614481255178</v>
      </c>
      <c r="G53" s="405">
        <v>36528</v>
      </c>
      <c r="H53" s="351">
        <f>G53/'- 44 -'!J53</f>
        <v>0.003880074181137898</v>
      </c>
      <c r="I53" s="405">
        <v>0</v>
      </c>
      <c r="J53" s="351">
        <f>I53/'- 44 -'!J53</f>
        <v>0</v>
      </c>
    </row>
    <row r="54" spans="1:10" ht="12.75">
      <c r="A54" s="13">
        <v>48</v>
      </c>
      <c r="B54" s="14" t="s">
        <v>159</v>
      </c>
      <c r="C54" s="406">
        <v>10371369</v>
      </c>
      <c r="D54" s="352">
        <f>C54/'- 44 -'!J54</f>
        <v>0.1703512232765175</v>
      </c>
      <c r="E54" s="406">
        <v>1238956</v>
      </c>
      <c r="F54" s="352">
        <f>E54/'- 44 -'!J54</f>
        <v>0.020350029989848112</v>
      </c>
      <c r="G54" s="406">
        <v>73500</v>
      </c>
      <c r="H54" s="352">
        <f>G54/'- 44 -'!J54</f>
        <v>0.001207248041297541</v>
      </c>
      <c r="I54" s="406">
        <v>18374161</v>
      </c>
      <c r="J54" s="352">
        <f>I54/'- 44 -'!J54</f>
        <v>0.30179822962905667</v>
      </c>
    </row>
    <row r="55" spans="1:10" ht="12.75">
      <c r="A55" s="11">
        <v>49</v>
      </c>
      <c r="B55" s="12" t="s">
        <v>160</v>
      </c>
      <c r="C55" s="405">
        <v>3141196</v>
      </c>
      <c r="D55" s="351">
        <f>C55/'- 44 -'!J55</f>
        <v>0.08563649366802491</v>
      </c>
      <c r="E55" s="405">
        <v>10238718</v>
      </c>
      <c r="F55" s="351">
        <f>E55/'- 44 -'!J55</f>
        <v>0.27913186861809725</v>
      </c>
      <c r="G55" s="405">
        <v>264532</v>
      </c>
      <c r="H55" s="351">
        <f>G55/'- 44 -'!J55</f>
        <v>0.007211773140864169</v>
      </c>
      <c r="I55" s="405">
        <v>0</v>
      </c>
      <c r="J55" s="351">
        <f>I55/'- 44 -'!J55</f>
        <v>0</v>
      </c>
    </row>
    <row r="56" spans="1:10" ht="12.75">
      <c r="A56" s="13">
        <v>50</v>
      </c>
      <c r="B56" s="14" t="s">
        <v>343</v>
      </c>
      <c r="C56" s="406">
        <v>1422</v>
      </c>
      <c r="D56" s="352">
        <f>C56/'- 44 -'!J56</f>
        <v>9.532933200417518E-05</v>
      </c>
      <c r="E56" s="406">
        <v>5365804</v>
      </c>
      <c r="F56" s="352">
        <f>E56/'- 44 -'!J56</f>
        <v>0.3597176589207674</v>
      </c>
      <c r="G56" s="406">
        <v>46127</v>
      </c>
      <c r="H56" s="352">
        <f>G56/'- 44 -'!J56</f>
        <v>0.0030923038659329033</v>
      </c>
      <c r="I56" s="406">
        <v>98487</v>
      </c>
      <c r="J56" s="352">
        <f>I56/'- 44 -'!J56</f>
        <v>0.006602461266592969</v>
      </c>
    </row>
    <row r="57" spans="1:10" ht="12.75">
      <c r="A57" s="11">
        <v>2264</v>
      </c>
      <c r="B57" s="12" t="s">
        <v>161</v>
      </c>
      <c r="C57" s="405">
        <v>0</v>
      </c>
      <c r="D57" s="351">
        <f>C57/'- 44 -'!J57</f>
        <v>0</v>
      </c>
      <c r="E57" s="405">
        <v>484214</v>
      </c>
      <c r="F57" s="351">
        <f>E57/'- 44 -'!J57</f>
        <v>0.2519357702029268</v>
      </c>
      <c r="G57" s="405">
        <v>0</v>
      </c>
      <c r="H57" s="351">
        <f>G57/'- 44 -'!J57</f>
        <v>0</v>
      </c>
      <c r="I57" s="405">
        <v>0</v>
      </c>
      <c r="J57" s="351">
        <f>I57/'- 44 -'!J57</f>
        <v>0</v>
      </c>
    </row>
    <row r="58" spans="1:10" ht="12.75">
      <c r="A58" s="13">
        <v>2309</v>
      </c>
      <c r="B58" s="14" t="s">
        <v>162</v>
      </c>
      <c r="C58" s="406">
        <v>10868</v>
      </c>
      <c r="D58" s="352">
        <f>C58/'- 44 -'!J58</f>
        <v>0.0053369266413210124</v>
      </c>
      <c r="E58" s="406">
        <v>578010</v>
      </c>
      <c r="F58" s="352">
        <f>E58/'- 44 -'!J58</f>
        <v>0.2838421943273793</v>
      </c>
      <c r="G58" s="406">
        <v>0</v>
      </c>
      <c r="H58" s="352">
        <f>G58/'- 44 -'!J58</f>
        <v>0</v>
      </c>
      <c r="I58" s="406">
        <v>0</v>
      </c>
      <c r="J58" s="352">
        <f>I58/'- 44 -'!J58</f>
        <v>0</v>
      </c>
    </row>
    <row r="59" spans="1:10" ht="12.75">
      <c r="A59" s="11">
        <v>2312</v>
      </c>
      <c r="B59" s="12" t="s">
        <v>163</v>
      </c>
      <c r="C59" s="405">
        <v>0</v>
      </c>
      <c r="D59" s="351">
        <f>C59/'- 44 -'!J59</f>
        <v>0</v>
      </c>
      <c r="E59" s="405">
        <v>100000</v>
      </c>
      <c r="F59" s="351">
        <f>E59/'- 44 -'!J59</f>
        <v>0.06833849972391245</v>
      </c>
      <c r="G59" s="405">
        <v>6720</v>
      </c>
      <c r="H59" s="351">
        <f>G59/'- 44 -'!J59</f>
        <v>0.0045923471814469175</v>
      </c>
      <c r="I59" s="405">
        <v>7241</v>
      </c>
      <c r="J59" s="351">
        <f>I59/'- 44 -'!J59</f>
        <v>0.004948390765008501</v>
      </c>
    </row>
    <row r="60" spans="1:10" ht="12.75">
      <c r="A60" s="13">
        <v>2355</v>
      </c>
      <c r="B60" s="14" t="s">
        <v>164</v>
      </c>
      <c r="C60" s="406">
        <v>33032</v>
      </c>
      <c r="D60" s="352">
        <f>C60/'- 44 -'!J60</f>
        <v>0.0013416270623627104</v>
      </c>
      <c r="E60" s="406">
        <v>7664390</v>
      </c>
      <c r="F60" s="352">
        <f>E60/'- 44 -'!J60</f>
        <v>0.3112967135051506</v>
      </c>
      <c r="G60" s="406">
        <v>143779</v>
      </c>
      <c r="H60" s="352">
        <f>G60/'- 44 -'!J60</f>
        <v>0.0058397250363117015</v>
      </c>
      <c r="I60" s="406">
        <v>309807</v>
      </c>
      <c r="J60" s="352">
        <f>I60/'- 44 -'!J60</f>
        <v>0.012583115019054378</v>
      </c>
    </row>
    <row r="61" spans="1:10" ht="12.75">
      <c r="A61" s="11">
        <v>2439</v>
      </c>
      <c r="B61" s="12" t="s">
        <v>165</v>
      </c>
      <c r="C61" s="405">
        <v>0</v>
      </c>
      <c r="D61" s="351">
        <f>C61/'- 44 -'!J61</f>
        <v>0</v>
      </c>
      <c r="E61" s="405">
        <v>215113.37</v>
      </c>
      <c r="F61" s="351">
        <f>E61/'- 44 -'!J61</f>
        <v>0.1550783402971628</v>
      </c>
      <c r="G61" s="405">
        <v>95216.08</v>
      </c>
      <c r="H61" s="351">
        <f>G61/'- 44 -'!J61</f>
        <v>0.06864264948293022</v>
      </c>
      <c r="I61" s="405">
        <v>126765.71</v>
      </c>
      <c r="J61" s="351">
        <f>I61/'- 44 -'!J61</f>
        <v>0.09138723415188676</v>
      </c>
    </row>
    <row r="62" spans="1:10" ht="12.75">
      <c r="A62" s="13">
        <v>2460</v>
      </c>
      <c r="B62" s="14" t="s">
        <v>166</v>
      </c>
      <c r="C62" s="406">
        <v>0</v>
      </c>
      <c r="D62" s="352">
        <f>C62/'- 44 -'!J62</f>
        <v>0</v>
      </c>
      <c r="E62" s="406">
        <v>898940</v>
      </c>
      <c r="F62" s="352">
        <f>E62/'- 44 -'!J62</f>
        <v>0.31177924417447206</v>
      </c>
      <c r="G62" s="406">
        <v>8304</v>
      </c>
      <c r="H62" s="352">
        <f>G62/'- 44 -'!J62</f>
        <v>0.002880075248208797</v>
      </c>
      <c r="I62" s="406">
        <v>0</v>
      </c>
      <c r="J62" s="352">
        <f>I62/'- 44 -'!J62</f>
        <v>0</v>
      </c>
    </row>
    <row r="63" spans="1:10" ht="12.75">
      <c r="A63" s="11">
        <v>3000</v>
      </c>
      <c r="B63" s="12" t="s">
        <v>366</v>
      </c>
      <c r="C63" s="405">
        <v>0</v>
      </c>
      <c r="D63" s="351">
        <f>C63/'- 44 -'!J63</f>
        <v>0</v>
      </c>
      <c r="E63" s="405">
        <v>0</v>
      </c>
      <c r="F63" s="351">
        <f>E63/'- 44 -'!J63</f>
        <v>0</v>
      </c>
      <c r="G63" s="405">
        <v>3505073</v>
      </c>
      <c r="H63" s="351">
        <f>G63/'- 44 -'!J63</f>
        <v>0.4073064727378199</v>
      </c>
      <c r="I63" s="405">
        <v>0</v>
      </c>
      <c r="J63" s="351">
        <f>I63/'- 44 -'!J63</f>
        <v>0</v>
      </c>
    </row>
    <row r="64" spans="1:10" ht="4.5" customHeight="1">
      <c r="A64" s="15"/>
      <c r="B64" s="15"/>
      <c r="C64" s="412"/>
      <c r="D64" s="194"/>
      <c r="E64" s="412"/>
      <c r="F64" s="194"/>
      <c r="G64" s="412"/>
      <c r="H64" s="194"/>
      <c r="I64" s="412"/>
      <c r="J64" s="194"/>
    </row>
    <row r="65" spans="1:10" ht="12.75">
      <c r="A65" s="17"/>
      <c r="B65" s="18" t="s">
        <v>167</v>
      </c>
      <c r="C65" s="407">
        <f>SUM(C11:C63)</f>
        <v>14700446</v>
      </c>
      <c r="D65" s="100">
        <f>C65/'- 44 -'!$J65</f>
        <v>0.010990445603516735</v>
      </c>
      <c r="E65" s="407">
        <f>SUM(E11:E63)</f>
        <v>471501872.37</v>
      </c>
      <c r="F65" s="100">
        <f>E65/'- 44 -'!$J65</f>
        <v>0.3525073783638112</v>
      </c>
      <c r="G65" s="407">
        <f>SUM(G11:G63)</f>
        <v>13715277.08</v>
      </c>
      <c r="H65" s="100">
        <f>G65/'- 44 -'!$J65</f>
        <v>0.010253907036895332</v>
      </c>
      <c r="I65" s="407">
        <f>SUM(I11:I63)</f>
        <v>25896473.71</v>
      </c>
      <c r="J65" s="100">
        <f>I65/'- 44 -'!$J65</f>
        <v>0.019360894603650543</v>
      </c>
    </row>
    <row r="66" spans="1:10" ht="4.5" customHeight="1">
      <c r="A66" s="15"/>
      <c r="B66" s="15"/>
      <c r="C66" s="412"/>
      <c r="D66" s="194"/>
      <c r="E66" s="412"/>
      <c r="F66" s="194"/>
      <c r="G66" s="412"/>
      <c r="H66" s="194"/>
      <c r="I66" s="412"/>
      <c r="J66" s="194"/>
    </row>
    <row r="67" spans="1:10" ht="12.75">
      <c r="A67" s="13">
        <v>2155</v>
      </c>
      <c r="B67" s="14" t="s">
        <v>168</v>
      </c>
      <c r="C67" s="406">
        <v>0</v>
      </c>
      <c r="D67" s="352">
        <f>C67/'- 44 -'!J67</f>
        <v>0</v>
      </c>
      <c r="E67" s="406">
        <v>0</v>
      </c>
      <c r="F67" s="352">
        <f>E67/'- 44 -'!J67</f>
        <v>0</v>
      </c>
      <c r="G67" s="406">
        <v>191989</v>
      </c>
      <c r="H67" s="352">
        <f>G67/'- 44 -'!J67</f>
        <v>0.13725872893994442</v>
      </c>
      <c r="I67" s="406">
        <v>129772</v>
      </c>
      <c r="J67" s="352">
        <f>I67/'- 44 -'!J67</f>
        <v>0.09277791838071175</v>
      </c>
    </row>
    <row r="68" spans="1:10" ht="12.75">
      <c r="A68" s="11">
        <v>2408</v>
      </c>
      <c r="B68" s="12" t="s">
        <v>170</v>
      </c>
      <c r="C68" s="405">
        <v>0</v>
      </c>
      <c r="D68" s="351">
        <f>C68/'- 44 -'!J68</f>
        <v>0</v>
      </c>
      <c r="E68" s="405">
        <v>1800219</v>
      </c>
      <c r="F68" s="351">
        <f>E68/'- 44 -'!J68</f>
        <v>0.7609715579208559</v>
      </c>
      <c r="G68" s="405">
        <v>86652</v>
      </c>
      <c r="H68" s="351">
        <f>G68/'- 44 -'!J68</f>
        <v>0.036628714304736264</v>
      </c>
      <c r="I68" s="405">
        <v>0</v>
      </c>
      <c r="J68" s="351">
        <f>I68/'- 44 -'!J68</f>
        <v>0</v>
      </c>
    </row>
    <row r="69" ht="6.75" customHeight="1"/>
    <row r="70" spans="1:10" ht="12" customHeight="1">
      <c r="A70" s="4"/>
      <c r="B70" s="4"/>
      <c r="C70" s="15"/>
      <c r="D70" s="15"/>
      <c r="E70" s="15"/>
      <c r="F70" s="15"/>
      <c r="G70" s="15"/>
      <c r="H70" s="15"/>
      <c r="I70" s="15"/>
      <c r="J70" s="15"/>
    </row>
    <row r="71" spans="1:10" ht="12" customHeight="1">
      <c r="A71" s="4"/>
      <c r="B71" s="4"/>
      <c r="C71" s="15"/>
      <c r="D71" s="15"/>
      <c r="E71" s="15"/>
      <c r="F71" s="15"/>
      <c r="G71" s="15"/>
      <c r="H71" s="15"/>
      <c r="I71" s="15"/>
      <c r="J71" s="15"/>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5.83203125" style="79" customWidth="1"/>
    <col min="4" max="4" width="8.83203125" style="79" customWidth="1"/>
    <col min="5" max="5" width="15.83203125" style="79" customWidth="1"/>
    <col min="6" max="6" width="8.83203125" style="79" customWidth="1"/>
    <col min="7" max="7" width="15.83203125" style="79" customWidth="1"/>
    <col min="8" max="8" width="8.83203125" style="79" customWidth="1"/>
    <col min="9" max="9" width="4.83203125" style="79" customWidth="1"/>
    <col min="10" max="10" width="19.83203125" style="79" customWidth="1"/>
    <col min="11" max="16384" width="15.83203125" style="79" customWidth="1"/>
  </cols>
  <sheetData>
    <row r="1" spans="1:2" ht="6.75" customHeight="1">
      <c r="A1" s="15"/>
      <c r="B1" s="77"/>
    </row>
    <row r="2" spans="1:10" ht="12.75">
      <c r="A2" s="9"/>
      <c r="B2" s="103"/>
      <c r="C2" s="104" t="str">
        <f>REVYEAR</f>
        <v>ANALYSIS OF OPERATING FUND REVENUE: 2001/2002 ACTUAL</v>
      </c>
      <c r="D2" s="104"/>
      <c r="E2" s="104"/>
      <c r="F2" s="104"/>
      <c r="G2" s="104"/>
      <c r="H2" s="282"/>
      <c r="I2" s="282"/>
      <c r="J2" s="105" t="s">
        <v>5</v>
      </c>
    </row>
    <row r="3" spans="1:2" ht="12.75">
      <c r="A3" s="10"/>
      <c r="B3" s="106"/>
    </row>
    <row r="4" spans="1:10" ht="12.75">
      <c r="A4" s="8"/>
      <c r="C4" s="150"/>
      <c r="D4" s="139"/>
      <c r="E4" s="139"/>
      <c r="F4" s="139"/>
      <c r="G4" s="139"/>
      <c r="H4" s="139"/>
      <c r="I4" s="139"/>
      <c r="J4" s="139"/>
    </row>
    <row r="5" spans="1:10" ht="12.75">
      <c r="A5" s="8"/>
      <c r="C5" s="54"/>
      <c r="D5" s="139"/>
      <c r="E5" s="139"/>
      <c r="F5" s="139"/>
      <c r="G5" s="139"/>
      <c r="H5" s="139"/>
      <c r="I5" s="139"/>
      <c r="J5" s="139"/>
    </row>
    <row r="6" spans="1:10" ht="12.75">
      <c r="A6" s="8"/>
      <c r="C6" s="64" t="s">
        <v>178</v>
      </c>
      <c r="D6" s="63"/>
      <c r="E6" s="180"/>
      <c r="F6" s="180"/>
      <c r="G6" s="64" t="s">
        <v>70</v>
      </c>
      <c r="H6" s="63"/>
      <c r="I6" s="139"/>
      <c r="J6" s="141" t="s">
        <v>70</v>
      </c>
    </row>
    <row r="7" spans="1:10" ht="12.75">
      <c r="A7" s="15"/>
      <c r="C7" s="174" t="s">
        <v>191</v>
      </c>
      <c r="D7" s="176"/>
      <c r="E7" s="181"/>
      <c r="F7" s="181"/>
      <c r="G7" s="174" t="s">
        <v>192</v>
      </c>
      <c r="H7" s="176"/>
      <c r="I7" s="139"/>
      <c r="J7" s="143" t="s">
        <v>193</v>
      </c>
    </row>
    <row r="8" spans="1:10" ht="12.75">
      <c r="A8" s="91"/>
      <c r="B8" s="43"/>
      <c r="C8" s="65" t="s">
        <v>216</v>
      </c>
      <c r="D8" s="67"/>
      <c r="E8" s="66" t="s">
        <v>58</v>
      </c>
      <c r="F8" s="66"/>
      <c r="G8" s="65" t="s">
        <v>217</v>
      </c>
      <c r="H8" s="67"/>
      <c r="I8" s="139"/>
      <c r="J8" s="182" t="s">
        <v>212</v>
      </c>
    </row>
    <row r="9" spans="1:10" ht="12.75">
      <c r="A9" s="49" t="s">
        <v>101</v>
      </c>
      <c r="B9" s="50" t="s">
        <v>102</v>
      </c>
      <c r="C9" s="151" t="s">
        <v>217</v>
      </c>
      <c r="D9" s="151" t="s">
        <v>104</v>
      </c>
      <c r="E9" s="183" t="s">
        <v>217</v>
      </c>
      <c r="F9" s="183" t="s">
        <v>104</v>
      </c>
      <c r="G9" s="151" t="s">
        <v>217</v>
      </c>
      <c r="H9" s="183" t="s">
        <v>104</v>
      </c>
      <c r="I9" s="139"/>
      <c r="J9" s="183" t="s">
        <v>217</v>
      </c>
    </row>
    <row r="10" spans="1:10" ht="4.5" customHeight="1">
      <c r="A10" s="74"/>
      <c r="B10" s="74"/>
      <c r="C10" s="145"/>
      <c r="D10" s="145"/>
      <c r="E10" s="145"/>
      <c r="F10" s="145"/>
      <c r="G10" s="145"/>
      <c r="H10" s="161"/>
      <c r="I10" s="77"/>
      <c r="J10" s="145"/>
    </row>
    <row r="11" spans="1:10" ht="12.75">
      <c r="A11" s="11">
        <v>1</v>
      </c>
      <c r="B11" s="12" t="s">
        <v>116</v>
      </c>
      <c r="C11" s="405">
        <v>977869</v>
      </c>
      <c r="D11" s="351">
        <f>C11/J11</f>
        <v>0.003997361306347529</v>
      </c>
      <c r="E11" s="405">
        <v>1237140</v>
      </c>
      <c r="F11" s="351">
        <f>E11/J11</f>
        <v>0.005057216832249292</v>
      </c>
      <c r="G11" s="405">
        <f>SUM('- 43 -'!C11,'- 43 -'!E11,'- 43 -'!G11,'- 43 -'!I11,C11,E11)</f>
        <v>108365324</v>
      </c>
      <c r="H11" s="351">
        <f>G11/J11</f>
        <v>0.4429789195765622</v>
      </c>
      <c r="J11" s="405">
        <f>SUM('- 42 -'!G11,G11)</f>
        <v>244628625</v>
      </c>
    </row>
    <row r="12" spans="1:10" ht="12.75">
      <c r="A12" s="13">
        <v>2</v>
      </c>
      <c r="B12" s="14" t="s">
        <v>117</v>
      </c>
      <c r="C12" s="406">
        <v>1001975</v>
      </c>
      <c r="D12" s="352">
        <f aca="true" t="shared" si="0" ref="D12:D63">C12/J12</f>
        <v>0.016505362531707726</v>
      </c>
      <c r="E12" s="406">
        <v>412618</v>
      </c>
      <c r="F12" s="352">
        <f aca="true" t="shared" si="1" ref="F12:F63">E12/J12</f>
        <v>0.006796985630487964</v>
      </c>
      <c r="G12" s="406">
        <f>SUM('- 43 -'!C12,'- 43 -'!E12,'- 43 -'!G12,'- 43 -'!I12,C12,E12)</f>
        <v>27623910</v>
      </c>
      <c r="H12" s="352">
        <f>G12/J12</f>
        <v>0.4550439373170651</v>
      </c>
      <c r="J12" s="406">
        <f>SUM('- 42 -'!G12,G12)</f>
        <v>60706028</v>
      </c>
    </row>
    <row r="13" spans="1:10" ht="12.75">
      <c r="A13" s="11">
        <v>3</v>
      </c>
      <c r="B13" s="12" t="s">
        <v>118</v>
      </c>
      <c r="C13" s="405">
        <v>143261</v>
      </c>
      <c r="D13" s="351">
        <f t="shared" si="0"/>
        <v>0.0031644313507298385</v>
      </c>
      <c r="E13" s="405">
        <v>84649</v>
      </c>
      <c r="F13" s="351">
        <f t="shared" si="1"/>
        <v>0.0018697757896980343</v>
      </c>
      <c r="G13" s="405">
        <f>SUM('- 43 -'!C13,'- 43 -'!E13,'- 43 -'!G13,'- 43 -'!I13,C13,E13)</f>
        <v>22805803</v>
      </c>
      <c r="H13" s="351">
        <f aca="true" t="shared" si="2" ref="H13:H63">G13/J13</f>
        <v>0.5037476912193033</v>
      </c>
      <c r="J13" s="405">
        <f>SUM('- 42 -'!G13,G13)</f>
        <v>45272273</v>
      </c>
    </row>
    <row r="14" spans="1:10" ht="12.75">
      <c r="A14" s="13">
        <v>4</v>
      </c>
      <c r="B14" s="14" t="s">
        <v>119</v>
      </c>
      <c r="C14" s="406">
        <v>868670</v>
      </c>
      <c r="D14" s="352">
        <f t="shared" si="0"/>
        <v>0.020379973529284386</v>
      </c>
      <c r="E14" s="406">
        <v>211824</v>
      </c>
      <c r="F14" s="352">
        <f t="shared" si="1"/>
        <v>0.004969628872721673</v>
      </c>
      <c r="G14" s="406">
        <f>SUM('- 43 -'!C14,'- 43 -'!E14,'- 43 -'!G14,'- 43 -'!I14,C14,E14)</f>
        <v>19142545</v>
      </c>
      <c r="H14" s="352">
        <f t="shared" si="2"/>
        <v>0.4491055986544201</v>
      </c>
      <c r="J14" s="406">
        <f>SUM('- 42 -'!G14,G14)</f>
        <v>42623706</v>
      </c>
    </row>
    <row r="15" spans="1:10" ht="12.75">
      <c r="A15" s="11">
        <v>5</v>
      </c>
      <c r="B15" s="12" t="s">
        <v>120</v>
      </c>
      <c r="C15" s="405">
        <v>989107</v>
      </c>
      <c r="D15" s="351">
        <f t="shared" si="0"/>
        <v>0.018726222258370586</v>
      </c>
      <c r="E15" s="405">
        <v>170047</v>
      </c>
      <c r="F15" s="351">
        <f t="shared" si="1"/>
        <v>0.0032194069159040863</v>
      </c>
      <c r="G15" s="405">
        <f>SUM('- 43 -'!C15,'- 43 -'!E15,'- 43 -'!G15,'- 43 -'!I15,C15,E15)</f>
        <v>28084392</v>
      </c>
      <c r="H15" s="351">
        <f t="shared" si="2"/>
        <v>0.5317064448873629</v>
      </c>
      <c r="J15" s="405">
        <f>SUM('- 42 -'!G15,G15)</f>
        <v>52819356</v>
      </c>
    </row>
    <row r="16" spans="1:10" ht="12.75">
      <c r="A16" s="13">
        <v>6</v>
      </c>
      <c r="B16" s="14" t="s">
        <v>121</v>
      </c>
      <c r="C16" s="406">
        <v>354901</v>
      </c>
      <c r="D16" s="352">
        <f t="shared" si="0"/>
        <v>0.005945776746278422</v>
      </c>
      <c r="E16" s="406">
        <v>609705</v>
      </c>
      <c r="F16" s="352">
        <f t="shared" si="1"/>
        <v>0.010214594523795889</v>
      </c>
      <c r="G16" s="406">
        <f>SUM('- 43 -'!C16,'- 43 -'!E16,'- 43 -'!G16,'- 43 -'!I16,C16,E16)</f>
        <v>22987171</v>
      </c>
      <c r="H16" s="352">
        <f t="shared" si="2"/>
        <v>0.3851118672376964</v>
      </c>
      <c r="J16" s="406">
        <f>SUM('- 42 -'!G16,G16)</f>
        <v>59689594</v>
      </c>
    </row>
    <row r="17" spans="1:10" ht="12.75">
      <c r="A17" s="11">
        <v>9</v>
      </c>
      <c r="B17" s="12" t="s">
        <v>122</v>
      </c>
      <c r="C17" s="405">
        <v>1090810</v>
      </c>
      <c r="D17" s="351">
        <f t="shared" si="0"/>
        <v>0.01295086676395558</v>
      </c>
      <c r="E17" s="405">
        <v>155105</v>
      </c>
      <c r="F17" s="351">
        <f t="shared" si="1"/>
        <v>0.0018415161113515004</v>
      </c>
      <c r="G17" s="405">
        <f>SUM('- 43 -'!C17,'- 43 -'!E17,'- 43 -'!G17,'- 43 -'!I17,C17,E17)</f>
        <v>31903250</v>
      </c>
      <c r="H17" s="351">
        <f t="shared" si="2"/>
        <v>0.37877791740739986</v>
      </c>
      <c r="J17" s="405">
        <f>SUM('- 42 -'!G17,G17)</f>
        <v>84226795</v>
      </c>
    </row>
    <row r="18" spans="1:10" ht="12.75">
      <c r="A18" s="13">
        <v>10</v>
      </c>
      <c r="B18" s="14" t="s">
        <v>123</v>
      </c>
      <c r="C18" s="406">
        <v>574263.86</v>
      </c>
      <c r="D18" s="352">
        <f t="shared" si="0"/>
        <v>0.008968496177957192</v>
      </c>
      <c r="E18" s="406">
        <v>98104</v>
      </c>
      <c r="F18" s="352">
        <f t="shared" si="1"/>
        <v>0.0015321273204312602</v>
      </c>
      <c r="G18" s="406">
        <f>SUM('- 43 -'!C18,'- 43 -'!E18,'- 43 -'!G18,'- 43 -'!I18,C18,E18)</f>
        <v>25925219.86</v>
      </c>
      <c r="H18" s="352">
        <f t="shared" si="2"/>
        <v>0.4048839765523637</v>
      </c>
      <c r="J18" s="406">
        <f>SUM('- 42 -'!G18,G18)</f>
        <v>64031232.06</v>
      </c>
    </row>
    <row r="19" spans="1:10" ht="12.75">
      <c r="A19" s="11">
        <v>11</v>
      </c>
      <c r="B19" s="12" t="s">
        <v>124</v>
      </c>
      <c r="C19" s="405">
        <v>540453</v>
      </c>
      <c r="D19" s="351">
        <f t="shared" si="0"/>
        <v>0.016201019952639145</v>
      </c>
      <c r="E19" s="405">
        <v>99071</v>
      </c>
      <c r="F19" s="351">
        <f t="shared" si="1"/>
        <v>0.002969825771580346</v>
      </c>
      <c r="G19" s="405">
        <f>SUM('- 43 -'!C19,'- 43 -'!E19,'- 43 -'!G19,'- 43 -'!I19,C19,E19)</f>
        <v>13765366</v>
      </c>
      <c r="H19" s="351">
        <f t="shared" si="2"/>
        <v>0.4126408202403919</v>
      </c>
      <c r="J19" s="405">
        <f>SUM('- 42 -'!G19,G19)</f>
        <v>33359196</v>
      </c>
    </row>
    <row r="20" spans="1:10" ht="12.75">
      <c r="A20" s="13">
        <v>12</v>
      </c>
      <c r="B20" s="14" t="s">
        <v>125</v>
      </c>
      <c r="C20" s="406">
        <v>381009</v>
      </c>
      <c r="D20" s="352">
        <f t="shared" si="0"/>
        <v>0.007286473503565812</v>
      </c>
      <c r="E20" s="406">
        <v>270091</v>
      </c>
      <c r="F20" s="352">
        <f t="shared" si="1"/>
        <v>0.0051652609650994965</v>
      </c>
      <c r="G20" s="406">
        <f>SUM('- 43 -'!C20,'- 43 -'!E20,'- 43 -'!G20,'- 43 -'!I20,C20,E20)</f>
        <v>20011345</v>
      </c>
      <c r="H20" s="352">
        <f t="shared" si="2"/>
        <v>0.38269997588827087</v>
      </c>
      <c r="J20" s="406">
        <f>SUM('- 42 -'!G20,G20)</f>
        <v>52289904</v>
      </c>
    </row>
    <row r="21" spans="1:10" ht="12.75">
      <c r="A21" s="11">
        <v>13</v>
      </c>
      <c r="B21" s="12" t="s">
        <v>126</v>
      </c>
      <c r="C21" s="405">
        <v>251163</v>
      </c>
      <c r="D21" s="351">
        <f t="shared" si="0"/>
        <v>0.011905894725028263</v>
      </c>
      <c r="E21" s="405">
        <v>127135</v>
      </c>
      <c r="F21" s="351">
        <f t="shared" si="1"/>
        <v>0.00602658801601537</v>
      </c>
      <c r="G21" s="405">
        <f>SUM('- 43 -'!C21,'- 43 -'!E21,'- 43 -'!G21,'- 43 -'!I21,C21,E21)</f>
        <v>8977147</v>
      </c>
      <c r="H21" s="351">
        <f t="shared" si="2"/>
        <v>0.4255442366634548</v>
      </c>
      <c r="J21" s="405">
        <f>SUM('- 42 -'!G21,G21)</f>
        <v>21095684.6</v>
      </c>
    </row>
    <row r="22" spans="1:10" ht="12.75">
      <c r="A22" s="13">
        <v>14</v>
      </c>
      <c r="B22" s="14" t="s">
        <v>127</v>
      </c>
      <c r="C22" s="406">
        <v>15080</v>
      </c>
      <c r="D22" s="352">
        <f t="shared" si="0"/>
        <v>0.0006115122865105378</v>
      </c>
      <c r="E22" s="406">
        <v>94075</v>
      </c>
      <c r="F22" s="352">
        <f t="shared" si="1"/>
        <v>0.003814855328480029</v>
      </c>
      <c r="G22" s="406">
        <f>SUM('- 43 -'!C22,'- 43 -'!E22,'- 43 -'!G22,'- 43 -'!I22,C22,E22)</f>
        <v>8257411</v>
      </c>
      <c r="H22" s="352">
        <f t="shared" si="2"/>
        <v>0.33484802926175505</v>
      </c>
      <c r="J22" s="406">
        <f>SUM('- 42 -'!G22,G22)</f>
        <v>24660175</v>
      </c>
    </row>
    <row r="23" spans="1:10" ht="12.75">
      <c r="A23" s="11">
        <v>15</v>
      </c>
      <c r="B23" s="12" t="s">
        <v>128</v>
      </c>
      <c r="C23" s="405">
        <v>355118</v>
      </c>
      <c r="D23" s="351">
        <f t="shared" si="0"/>
        <v>0.010971100478137784</v>
      </c>
      <c r="E23" s="405">
        <v>96608</v>
      </c>
      <c r="F23" s="351">
        <f t="shared" si="1"/>
        <v>0.002984630672035591</v>
      </c>
      <c r="G23" s="405">
        <f>SUM('- 43 -'!C23,'- 43 -'!E23,'- 43 -'!G23,'- 43 -'!I23,C23,E23)</f>
        <v>8002766</v>
      </c>
      <c r="H23" s="351">
        <f t="shared" si="2"/>
        <v>0.24723936801013974</v>
      </c>
      <c r="J23" s="405">
        <f>SUM('- 42 -'!G23,G23)</f>
        <v>32368494</v>
      </c>
    </row>
    <row r="24" spans="1:10" ht="12.75">
      <c r="A24" s="13">
        <v>16</v>
      </c>
      <c r="B24" s="14" t="s">
        <v>129</v>
      </c>
      <c r="C24" s="406">
        <v>31435</v>
      </c>
      <c r="D24" s="352">
        <f t="shared" si="0"/>
        <v>0.004947688920025183</v>
      </c>
      <c r="E24" s="406">
        <v>36768.39</v>
      </c>
      <c r="F24" s="352">
        <f t="shared" si="1"/>
        <v>0.005787133952923962</v>
      </c>
      <c r="G24" s="406">
        <f>SUM('- 43 -'!C24,'- 43 -'!E24,'- 43 -'!G24,'- 43 -'!I24,C24,E24)</f>
        <v>2574721.39</v>
      </c>
      <c r="H24" s="352">
        <f t="shared" si="2"/>
        <v>0.40524639711960675</v>
      </c>
      <c r="J24" s="406">
        <f>SUM('- 42 -'!G24,G24)</f>
        <v>6353471.390000001</v>
      </c>
    </row>
    <row r="25" spans="1:10" ht="12.75">
      <c r="A25" s="11">
        <v>17</v>
      </c>
      <c r="B25" s="12" t="s">
        <v>130</v>
      </c>
      <c r="C25" s="405">
        <v>4923</v>
      </c>
      <c r="D25" s="351">
        <f t="shared" si="0"/>
        <v>0.0011292496223195621</v>
      </c>
      <c r="E25" s="405">
        <v>44611</v>
      </c>
      <c r="F25" s="351">
        <f t="shared" si="1"/>
        <v>0.010232978854620756</v>
      </c>
      <c r="G25" s="405">
        <f>SUM('- 43 -'!C25,'- 43 -'!E25,'- 43 -'!G25,'- 43 -'!I25,C25,E25)</f>
        <v>1673393</v>
      </c>
      <c r="H25" s="351">
        <f t="shared" si="2"/>
        <v>0.38384692529802944</v>
      </c>
      <c r="J25" s="405">
        <f>SUM('- 42 -'!G25,G25)</f>
        <v>4359532.12</v>
      </c>
    </row>
    <row r="26" spans="1:10" ht="12.75">
      <c r="A26" s="13">
        <v>18</v>
      </c>
      <c r="B26" s="14" t="s">
        <v>131</v>
      </c>
      <c r="C26" s="406">
        <v>87292</v>
      </c>
      <c r="D26" s="352">
        <f t="shared" si="0"/>
        <v>0.008988325329764308</v>
      </c>
      <c r="E26" s="406">
        <v>66904</v>
      </c>
      <c r="F26" s="352">
        <f t="shared" si="1"/>
        <v>0.006889003778840573</v>
      </c>
      <c r="G26" s="406">
        <f>SUM('- 43 -'!C26,'- 43 -'!E26,'- 43 -'!G26,'- 43 -'!I26,C26,E26)</f>
        <v>3433821</v>
      </c>
      <c r="H26" s="352">
        <f t="shared" si="2"/>
        <v>0.3535753593934909</v>
      </c>
      <c r="J26" s="406">
        <f>SUM('- 42 -'!G26,G26)</f>
        <v>9711709</v>
      </c>
    </row>
    <row r="27" spans="1:10" ht="12.75">
      <c r="A27" s="11">
        <v>19</v>
      </c>
      <c r="B27" s="12" t="s">
        <v>132</v>
      </c>
      <c r="C27" s="405">
        <v>142140</v>
      </c>
      <c r="D27" s="351">
        <f t="shared" si="0"/>
        <v>0.008989641800025563</v>
      </c>
      <c r="E27" s="405">
        <v>50761</v>
      </c>
      <c r="F27" s="351">
        <f t="shared" si="1"/>
        <v>0.0032103785522097764</v>
      </c>
      <c r="G27" s="405">
        <f>SUM('- 43 -'!C27,'- 43 -'!E27,'- 43 -'!G27,'- 43 -'!I27,C27,E27)</f>
        <v>5552797</v>
      </c>
      <c r="H27" s="351">
        <f t="shared" si="2"/>
        <v>0.3511865486017768</v>
      </c>
      <c r="J27" s="405">
        <f>SUM('- 42 -'!G27,G27)</f>
        <v>15811531</v>
      </c>
    </row>
    <row r="28" spans="1:10" ht="12.75">
      <c r="A28" s="13">
        <v>20</v>
      </c>
      <c r="B28" s="14" t="s">
        <v>133</v>
      </c>
      <c r="C28" s="406">
        <v>1750</v>
      </c>
      <c r="D28" s="352">
        <f t="shared" si="0"/>
        <v>0.00021510523009314795</v>
      </c>
      <c r="E28" s="406">
        <v>7997</v>
      </c>
      <c r="F28" s="352">
        <f t="shared" si="1"/>
        <v>0.0009829694428885166</v>
      </c>
      <c r="G28" s="406">
        <f>SUM('- 43 -'!C28,'- 43 -'!E28,'- 43 -'!G28,'- 43 -'!I28,C28,E28)</f>
        <v>3406841</v>
      </c>
      <c r="H28" s="352">
        <f t="shared" si="2"/>
        <v>0.4187596098261544</v>
      </c>
      <c r="J28" s="406">
        <f>SUM('- 42 -'!G28,G28)</f>
        <v>8135553</v>
      </c>
    </row>
    <row r="29" spans="1:10" ht="12.75">
      <c r="A29" s="11">
        <v>21</v>
      </c>
      <c r="B29" s="12" t="s">
        <v>134</v>
      </c>
      <c r="C29" s="405">
        <v>148551</v>
      </c>
      <c r="D29" s="351">
        <f t="shared" si="0"/>
        <v>0.006298046126486046</v>
      </c>
      <c r="E29" s="405">
        <v>65744</v>
      </c>
      <c r="F29" s="351">
        <f t="shared" si="1"/>
        <v>0.002787317113581858</v>
      </c>
      <c r="G29" s="405">
        <f>SUM('- 43 -'!C29,'- 43 -'!E29,'- 43 -'!G29,'- 43 -'!I29,C29,E29)</f>
        <v>8257823</v>
      </c>
      <c r="H29" s="351">
        <f t="shared" si="2"/>
        <v>0.35010299599704736</v>
      </c>
      <c r="J29" s="405">
        <f>SUM('- 42 -'!G29,G29)</f>
        <v>23586839</v>
      </c>
    </row>
    <row r="30" spans="1:10" ht="12.75">
      <c r="A30" s="13">
        <v>22</v>
      </c>
      <c r="B30" s="14" t="s">
        <v>135</v>
      </c>
      <c r="C30" s="406">
        <v>132877</v>
      </c>
      <c r="D30" s="352">
        <f t="shared" si="0"/>
        <v>0.010502256795302457</v>
      </c>
      <c r="E30" s="406">
        <v>777</v>
      </c>
      <c r="F30" s="352">
        <f t="shared" si="1"/>
        <v>6.141208433325564E-05</v>
      </c>
      <c r="G30" s="406">
        <f>SUM('- 43 -'!C30,'- 43 -'!E30,'- 43 -'!G30,'- 43 -'!I30,C30,E30)</f>
        <v>5650827</v>
      </c>
      <c r="H30" s="352">
        <f t="shared" si="2"/>
        <v>0.4466268523508854</v>
      </c>
      <c r="J30" s="406">
        <f>SUM('- 42 -'!G30,G30)</f>
        <v>12652233</v>
      </c>
    </row>
    <row r="31" spans="1:10" ht="12.75">
      <c r="A31" s="11">
        <v>23</v>
      </c>
      <c r="B31" s="12" t="s">
        <v>136</v>
      </c>
      <c r="C31" s="405">
        <v>169574</v>
      </c>
      <c r="D31" s="351">
        <f t="shared" si="0"/>
        <v>0.016098478555456465</v>
      </c>
      <c r="E31" s="405">
        <v>11415</v>
      </c>
      <c r="F31" s="351">
        <f t="shared" si="1"/>
        <v>0.0010836810637865212</v>
      </c>
      <c r="G31" s="405">
        <f>SUM('- 43 -'!C31,'- 43 -'!E31,'- 43 -'!G31,'- 43 -'!I31,C31,E31)</f>
        <v>3123792</v>
      </c>
      <c r="H31" s="351">
        <f t="shared" si="2"/>
        <v>0.2965566568206592</v>
      </c>
      <c r="J31" s="405">
        <f>SUM('- 42 -'!G31,G31)</f>
        <v>10533542</v>
      </c>
    </row>
    <row r="32" spans="1:10" ht="12.75">
      <c r="A32" s="13">
        <v>24</v>
      </c>
      <c r="B32" s="14" t="s">
        <v>137</v>
      </c>
      <c r="C32" s="406">
        <v>83100</v>
      </c>
      <c r="D32" s="352">
        <f t="shared" si="0"/>
        <v>0.0035598678744971366</v>
      </c>
      <c r="E32" s="406">
        <v>53191</v>
      </c>
      <c r="F32" s="352">
        <f t="shared" si="1"/>
        <v>0.0022786153082115187</v>
      </c>
      <c r="G32" s="406">
        <f>SUM('- 43 -'!C32,'- 43 -'!E32,'- 43 -'!G32,'- 43 -'!I32,C32,E32)</f>
        <v>8638403</v>
      </c>
      <c r="H32" s="352">
        <f t="shared" si="2"/>
        <v>0.3700550340151587</v>
      </c>
      <c r="J32" s="406">
        <f>SUM('- 42 -'!G32,G32)</f>
        <v>23343563</v>
      </c>
    </row>
    <row r="33" spans="1:10" ht="12.75">
      <c r="A33" s="11">
        <v>25</v>
      </c>
      <c r="B33" s="12" t="s">
        <v>138</v>
      </c>
      <c r="C33" s="405">
        <v>54569</v>
      </c>
      <c r="D33" s="351">
        <f t="shared" si="0"/>
        <v>0.0049963225037409015</v>
      </c>
      <c r="E33" s="405">
        <v>66851</v>
      </c>
      <c r="F33" s="351">
        <f t="shared" si="1"/>
        <v>0.006120859016980025</v>
      </c>
      <c r="G33" s="405">
        <f>SUM('- 43 -'!C33,'- 43 -'!E33,'- 43 -'!G33,'- 43 -'!I33,C33,E33)</f>
        <v>3995597</v>
      </c>
      <c r="H33" s="351">
        <f t="shared" si="2"/>
        <v>0.36583575302790294</v>
      </c>
      <c r="J33" s="405">
        <f>SUM('- 42 -'!G33,G33)</f>
        <v>10921833</v>
      </c>
    </row>
    <row r="34" spans="1:10" ht="12.75">
      <c r="A34" s="13">
        <v>26</v>
      </c>
      <c r="B34" s="14" t="s">
        <v>139</v>
      </c>
      <c r="C34" s="406">
        <v>3000</v>
      </c>
      <c r="D34" s="352">
        <f t="shared" si="0"/>
        <v>0.00018238068807370126</v>
      </c>
      <c r="E34" s="406">
        <v>112086</v>
      </c>
      <c r="F34" s="352">
        <f t="shared" si="1"/>
        <v>0.006814107267809626</v>
      </c>
      <c r="G34" s="406">
        <f>SUM('- 43 -'!C34,'- 43 -'!E34,'- 43 -'!G34,'- 43 -'!I34,C34,E34)</f>
        <v>4676831</v>
      </c>
      <c r="H34" s="352">
        <f t="shared" si="2"/>
        <v>0.2843212185948054</v>
      </c>
      <c r="J34" s="406">
        <f>SUM('- 42 -'!G34,G34)</f>
        <v>16449110</v>
      </c>
    </row>
    <row r="35" spans="1:10" ht="12.75">
      <c r="A35" s="11">
        <v>28</v>
      </c>
      <c r="B35" s="12" t="s">
        <v>140</v>
      </c>
      <c r="C35" s="405">
        <v>60936</v>
      </c>
      <c r="D35" s="351">
        <f t="shared" si="0"/>
        <v>0.009347458172617394</v>
      </c>
      <c r="E35" s="405">
        <v>33647.46</v>
      </c>
      <c r="F35" s="351">
        <f t="shared" si="1"/>
        <v>0.005161451768491809</v>
      </c>
      <c r="G35" s="405">
        <f>SUM('- 43 -'!C35,'- 43 -'!E35,'- 43 -'!G35,'- 43 -'!I35,C35,E35)</f>
        <v>2142128.46</v>
      </c>
      <c r="H35" s="351">
        <f t="shared" si="2"/>
        <v>0.3285981387065661</v>
      </c>
      <c r="J35" s="405">
        <f>SUM('- 42 -'!G35,G35)</f>
        <v>6518991.46</v>
      </c>
    </row>
    <row r="36" spans="1:10" ht="12.75">
      <c r="A36" s="13">
        <v>30</v>
      </c>
      <c r="B36" s="14" t="s">
        <v>141</v>
      </c>
      <c r="C36" s="406">
        <v>16292</v>
      </c>
      <c r="D36" s="352">
        <f t="shared" si="0"/>
        <v>0.0017037248432091056</v>
      </c>
      <c r="E36" s="406">
        <v>17683</v>
      </c>
      <c r="F36" s="352">
        <f t="shared" si="1"/>
        <v>0.0018491877241877373</v>
      </c>
      <c r="G36" s="406">
        <f>SUM('- 43 -'!C36,'- 43 -'!E36,'- 43 -'!G36,'- 43 -'!I36,C36,E36)</f>
        <v>3132002</v>
      </c>
      <c r="H36" s="352">
        <f t="shared" si="2"/>
        <v>0.3275269835735702</v>
      </c>
      <c r="J36" s="406">
        <f>SUM('- 42 -'!G36,G36)</f>
        <v>9562577</v>
      </c>
    </row>
    <row r="37" spans="1:10" ht="12.75">
      <c r="A37" s="11">
        <v>31</v>
      </c>
      <c r="B37" s="12" t="s">
        <v>142</v>
      </c>
      <c r="C37" s="405">
        <v>51685</v>
      </c>
      <c r="D37" s="351">
        <f t="shared" si="0"/>
        <v>0.0046385227949493815</v>
      </c>
      <c r="E37" s="405">
        <v>174480</v>
      </c>
      <c r="F37" s="351">
        <f t="shared" si="1"/>
        <v>0.01565888472985911</v>
      </c>
      <c r="G37" s="405">
        <f>SUM('- 43 -'!C37,'- 43 -'!E37,'- 43 -'!G37,'- 43 -'!I37,C37,E37)</f>
        <v>3949371</v>
      </c>
      <c r="H37" s="351">
        <f t="shared" si="2"/>
        <v>0.354440309745807</v>
      </c>
      <c r="J37" s="405">
        <f>SUM('- 42 -'!G37,G37)</f>
        <v>11142556</v>
      </c>
    </row>
    <row r="38" spans="1:10" ht="12.75">
      <c r="A38" s="13">
        <v>32</v>
      </c>
      <c r="B38" s="14" t="s">
        <v>143</v>
      </c>
      <c r="C38" s="406">
        <v>13233</v>
      </c>
      <c r="D38" s="352">
        <f t="shared" si="0"/>
        <v>0.001980845984247537</v>
      </c>
      <c r="E38" s="406">
        <v>6178</v>
      </c>
      <c r="F38" s="352">
        <f t="shared" si="1"/>
        <v>0.0009247839862979885</v>
      </c>
      <c r="G38" s="406">
        <f>SUM('- 43 -'!C38,'- 43 -'!E38,'- 43 -'!G38,'- 43 -'!I38,C38,E38)</f>
        <v>1896113</v>
      </c>
      <c r="H38" s="352">
        <f t="shared" si="2"/>
        <v>0.2838288990954092</v>
      </c>
      <c r="J38" s="406">
        <f>SUM('- 42 -'!G38,G38)</f>
        <v>6680479</v>
      </c>
    </row>
    <row r="39" spans="1:10" ht="12.75">
      <c r="A39" s="11">
        <v>33</v>
      </c>
      <c r="B39" s="12" t="s">
        <v>144</v>
      </c>
      <c r="C39" s="405">
        <v>236945</v>
      </c>
      <c r="D39" s="351">
        <f t="shared" si="0"/>
        <v>0.017826205760058646</v>
      </c>
      <c r="E39" s="405">
        <v>73841</v>
      </c>
      <c r="F39" s="351">
        <f t="shared" si="1"/>
        <v>0.00555531815201203</v>
      </c>
      <c r="G39" s="405">
        <f>SUM('- 43 -'!C39,'- 43 -'!E39,'- 43 -'!G39,'- 43 -'!I39,C39,E39)</f>
        <v>4728321</v>
      </c>
      <c r="H39" s="351">
        <f t="shared" si="2"/>
        <v>0.355728219821504</v>
      </c>
      <c r="J39" s="405">
        <f>SUM('- 42 -'!G39,G39)</f>
        <v>13291948</v>
      </c>
    </row>
    <row r="40" spans="1:10" ht="12.75">
      <c r="A40" s="13">
        <v>34</v>
      </c>
      <c r="B40" s="14" t="s">
        <v>145</v>
      </c>
      <c r="C40" s="406">
        <v>0</v>
      </c>
      <c r="D40" s="352">
        <f t="shared" si="0"/>
        <v>0</v>
      </c>
      <c r="E40" s="406">
        <v>23361.13</v>
      </c>
      <c r="F40" s="352">
        <f t="shared" si="1"/>
        <v>0.004041564770226973</v>
      </c>
      <c r="G40" s="406">
        <f>SUM('- 43 -'!C40,'- 43 -'!E40,'- 43 -'!G40,'- 43 -'!I40,C40,E40)</f>
        <v>1422648.13</v>
      </c>
      <c r="H40" s="352">
        <f t="shared" si="2"/>
        <v>0.2461235634850404</v>
      </c>
      <c r="J40" s="406">
        <f>SUM('- 42 -'!G40,G40)</f>
        <v>5780219.13</v>
      </c>
    </row>
    <row r="41" spans="1:10" ht="12.75">
      <c r="A41" s="11">
        <v>35</v>
      </c>
      <c r="B41" s="12" t="s">
        <v>146</v>
      </c>
      <c r="C41" s="405">
        <v>230365</v>
      </c>
      <c r="D41" s="351">
        <f t="shared" si="0"/>
        <v>0.01588618741294543</v>
      </c>
      <c r="E41" s="405">
        <v>194217</v>
      </c>
      <c r="F41" s="351">
        <f t="shared" si="1"/>
        <v>0.013393387280099072</v>
      </c>
      <c r="G41" s="405">
        <f>SUM('- 43 -'!C41,'- 43 -'!E41,'- 43 -'!G41,'- 43 -'!I41,C41,E41)</f>
        <v>5186495</v>
      </c>
      <c r="H41" s="351">
        <f t="shared" si="2"/>
        <v>0.3576655810835171</v>
      </c>
      <c r="J41" s="405">
        <f>SUM('- 42 -'!G41,G41)</f>
        <v>14500962</v>
      </c>
    </row>
    <row r="42" spans="1:10" ht="12.75">
      <c r="A42" s="13">
        <v>36</v>
      </c>
      <c r="B42" s="14" t="s">
        <v>147</v>
      </c>
      <c r="C42" s="406">
        <v>11450</v>
      </c>
      <c r="D42" s="352">
        <f t="shared" si="0"/>
        <v>0.0014994842167172454</v>
      </c>
      <c r="E42" s="406">
        <v>39432</v>
      </c>
      <c r="F42" s="352">
        <f t="shared" si="1"/>
        <v>0.005163987915597766</v>
      </c>
      <c r="G42" s="406">
        <f>SUM('- 43 -'!C42,'- 43 -'!E42,'- 43 -'!G42,'- 43 -'!I42,C42,E42)</f>
        <v>2984561</v>
      </c>
      <c r="H42" s="352">
        <f t="shared" si="2"/>
        <v>0.3908560797667981</v>
      </c>
      <c r="J42" s="406">
        <f>SUM('- 42 -'!G42,G42)</f>
        <v>7635959</v>
      </c>
    </row>
    <row r="43" spans="1:10" ht="12.75">
      <c r="A43" s="11">
        <v>37</v>
      </c>
      <c r="B43" s="12" t="s">
        <v>148</v>
      </c>
      <c r="C43" s="405">
        <v>9847</v>
      </c>
      <c r="D43" s="351">
        <f t="shared" si="0"/>
        <v>0.001405566339605211</v>
      </c>
      <c r="E43" s="405">
        <v>41559</v>
      </c>
      <c r="F43" s="351">
        <f t="shared" si="1"/>
        <v>0.005932155124165021</v>
      </c>
      <c r="G43" s="405">
        <f>SUM('- 43 -'!C43,'- 43 -'!E43,'- 43 -'!G43,'- 43 -'!I43,C43,E43)</f>
        <v>2711755</v>
      </c>
      <c r="H43" s="351">
        <f t="shared" si="2"/>
        <v>0.38707743975384673</v>
      </c>
      <c r="J43" s="405">
        <f>SUM('- 42 -'!G43,G43)</f>
        <v>7005717</v>
      </c>
    </row>
    <row r="44" spans="1:10" ht="12.75">
      <c r="A44" s="13">
        <v>38</v>
      </c>
      <c r="B44" s="14" t="s">
        <v>149</v>
      </c>
      <c r="C44" s="406">
        <v>93532</v>
      </c>
      <c r="D44" s="352">
        <f t="shared" si="0"/>
        <v>0.010026177056378219</v>
      </c>
      <c r="E44" s="406">
        <v>7714</v>
      </c>
      <c r="F44" s="352">
        <f t="shared" si="1"/>
        <v>0.0008269034107353802</v>
      </c>
      <c r="G44" s="406">
        <f>SUM('- 43 -'!C44,'- 43 -'!E44,'- 43 -'!G44,'- 43 -'!I44,C44,E44)</f>
        <v>3948778</v>
      </c>
      <c r="H44" s="352">
        <f t="shared" si="2"/>
        <v>0.4232898621255941</v>
      </c>
      <c r="J44" s="406">
        <f>SUM('- 42 -'!G44,G44)</f>
        <v>9328780</v>
      </c>
    </row>
    <row r="45" spans="1:10" ht="12.75">
      <c r="A45" s="11">
        <v>39</v>
      </c>
      <c r="B45" s="12" t="s">
        <v>150</v>
      </c>
      <c r="C45" s="405">
        <v>8000</v>
      </c>
      <c r="D45" s="351">
        <f t="shared" si="0"/>
        <v>0.0004993748139438682</v>
      </c>
      <c r="E45" s="405">
        <v>122007</v>
      </c>
      <c r="F45" s="351">
        <f t="shared" si="1"/>
        <v>0.00761590286560619</v>
      </c>
      <c r="G45" s="405">
        <f>SUM('- 43 -'!C45,'- 43 -'!E45,'- 43 -'!G45,'- 43 -'!I45,C45,E45)</f>
        <v>6222693</v>
      </c>
      <c r="H45" s="351">
        <f t="shared" si="2"/>
        <v>0.38843201988810133</v>
      </c>
      <c r="J45" s="405">
        <f>SUM('- 42 -'!G45,G45)</f>
        <v>16020031</v>
      </c>
    </row>
    <row r="46" spans="1:10" ht="12.75">
      <c r="A46" s="13">
        <v>40</v>
      </c>
      <c r="B46" s="14" t="s">
        <v>151</v>
      </c>
      <c r="C46" s="406">
        <v>609122</v>
      </c>
      <c r="D46" s="352">
        <f t="shared" si="0"/>
        <v>0.013311577815622097</v>
      </c>
      <c r="E46" s="406">
        <v>130151</v>
      </c>
      <c r="F46" s="352">
        <f t="shared" si="1"/>
        <v>0.002844282695881993</v>
      </c>
      <c r="G46" s="406">
        <f>SUM('- 43 -'!C46,'- 43 -'!E46,'- 43 -'!G46,'- 43 -'!I46,C46,E46)</f>
        <v>17888236</v>
      </c>
      <c r="H46" s="352">
        <f t="shared" si="2"/>
        <v>0.39092438870737317</v>
      </c>
      <c r="J46" s="406">
        <f>SUM('- 42 -'!G46,G46)</f>
        <v>45758813</v>
      </c>
    </row>
    <row r="47" spans="1:10" ht="12.75">
      <c r="A47" s="11">
        <v>41</v>
      </c>
      <c r="B47" s="12" t="s">
        <v>152</v>
      </c>
      <c r="C47" s="405">
        <v>0</v>
      </c>
      <c r="D47" s="351">
        <f t="shared" si="0"/>
        <v>0</v>
      </c>
      <c r="E47" s="405">
        <v>86164</v>
      </c>
      <c r="F47" s="351">
        <f t="shared" si="1"/>
        <v>0.00690193128155128</v>
      </c>
      <c r="G47" s="405">
        <f>SUM('- 43 -'!C47,'- 43 -'!E47,'- 43 -'!G47,'- 43 -'!I47,C47,E47)</f>
        <v>5482504</v>
      </c>
      <c r="H47" s="351">
        <f t="shared" si="2"/>
        <v>0.43916097046132974</v>
      </c>
      <c r="J47" s="405">
        <f>SUM('- 42 -'!G47,G47)</f>
        <v>12484042</v>
      </c>
    </row>
    <row r="48" spans="1:10" ht="12.75">
      <c r="A48" s="13">
        <v>42</v>
      </c>
      <c r="B48" s="14" t="s">
        <v>153</v>
      </c>
      <c r="C48" s="406">
        <v>91861</v>
      </c>
      <c r="D48" s="352">
        <f t="shared" si="0"/>
        <v>0.011194926581774966</v>
      </c>
      <c r="E48" s="406">
        <v>100249</v>
      </c>
      <c r="F48" s="352">
        <f t="shared" si="1"/>
        <v>0.01221715630024013</v>
      </c>
      <c r="G48" s="406">
        <f>SUM('- 43 -'!C48,'- 43 -'!E48,'- 43 -'!G48,'- 43 -'!I48,C48,E48)</f>
        <v>3294963</v>
      </c>
      <c r="H48" s="352">
        <f t="shared" si="2"/>
        <v>0.4015509179593624</v>
      </c>
      <c r="J48" s="406">
        <f>SUM('- 42 -'!G48,G48)</f>
        <v>8205592</v>
      </c>
    </row>
    <row r="49" spans="1:10" ht="12.75">
      <c r="A49" s="11">
        <v>43</v>
      </c>
      <c r="B49" s="12" t="s">
        <v>154</v>
      </c>
      <c r="C49" s="405">
        <v>3750</v>
      </c>
      <c r="D49" s="351">
        <f t="shared" si="0"/>
        <v>0.0005922223673386364</v>
      </c>
      <c r="E49" s="405">
        <v>56694</v>
      </c>
      <c r="F49" s="351">
        <f t="shared" si="1"/>
        <v>0.00895345463837244</v>
      </c>
      <c r="G49" s="405">
        <f>SUM('- 43 -'!C49,'- 43 -'!E49,'- 43 -'!G49,'- 43 -'!I49,C49,E49)</f>
        <v>2825932</v>
      </c>
      <c r="H49" s="351">
        <f t="shared" si="2"/>
        <v>0.44628803706080195</v>
      </c>
      <c r="J49" s="405">
        <f>SUM('- 42 -'!G49,G49)</f>
        <v>6332081</v>
      </c>
    </row>
    <row r="50" spans="1:10" ht="12.75">
      <c r="A50" s="13">
        <v>44</v>
      </c>
      <c r="B50" s="14" t="s">
        <v>155</v>
      </c>
      <c r="C50" s="406">
        <v>36629</v>
      </c>
      <c r="D50" s="352">
        <f t="shared" si="0"/>
        <v>0.0038589000960063246</v>
      </c>
      <c r="E50" s="406">
        <v>34793</v>
      </c>
      <c r="F50" s="352">
        <f t="shared" si="1"/>
        <v>0.003665475744365067</v>
      </c>
      <c r="G50" s="406">
        <f>SUM('- 43 -'!C50,'- 43 -'!E50,'- 43 -'!G50,'- 43 -'!I50,C50,E50)</f>
        <v>3485851</v>
      </c>
      <c r="H50" s="352">
        <f t="shared" si="2"/>
        <v>0.3672377285365077</v>
      </c>
      <c r="J50" s="406">
        <f>SUM('- 42 -'!G50,G50)</f>
        <v>9492083</v>
      </c>
    </row>
    <row r="51" spans="1:10" ht="12.75">
      <c r="A51" s="11">
        <v>45</v>
      </c>
      <c r="B51" s="12" t="s">
        <v>156</v>
      </c>
      <c r="C51" s="405">
        <v>0</v>
      </c>
      <c r="D51" s="351">
        <f t="shared" si="0"/>
        <v>0</v>
      </c>
      <c r="E51" s="405">
        <v>150811</v>
      </c>
      <c r="F51" s="351">
        <f t="shared" si="1"/>
        <v>0.012198496475110048</v>
      </c>
      <c r="G51" s="405">
        <f>SUM('- 43 -'!C51,'- 43 -'!E51,'- 43 -'!G51,'- 43 -'!I51,C51,E51)</f>
        <v>3373055</v>
      </c>
      <c r="H51" s="351">
        <f t="shared" si="2"/>
        <v>0.27283288041225323</v>
      </c>
      <c r="J51" s="405">
        <f>SUM('- 42 -'!G51,G51)</f>
        <v>12363081</v>
      </c>
    </row>
    <row r="52" spans="1:10" ht="12.75">
      <c r="A52" s="13">
        <v>46</v>
      </c>
      <c r="B52" s="14" t="s">
        <v>157</v>
      </c>
      <c r="C52" s="406">
        <v>1295005</v>
      </c>
      <c r="D52" s="352">
        <f t="shared" si="0"/>
        <v>0.11751532366680514</v>
      </c>
      <c r="E52" s="406">
        <v>53916</v>
      </c>
      <c r="F52" s="352">
        <f t="shared" si="1"/>
        <v>0.004892611372789654</v>
      </c>
      <c r="G52" s="406">
        <f>SUM('- 43 -'!C52,'- 43 -'!E52,'- 43 -'!G52,'- 43 -'!I52,C52,E52)</f>
        <v>4452236</v>
      </c>
      <c r="H52" s="352">
        <f t="shared" si="2"/>
        <v>0.40401848223057196</v>
      </c>
      <c r="J52" s="406">
        <f>SUM('- 42 -'!G52,G52)</f>
        <v>11019882</v>
      </c>
    </row>
    <row r="53" spans="1:10" ht="12.75">
      <c r="A53" s="11">
        <v>47</v>
      </c>
      <c r="B53" s="12" t="s">
        <v>158</v>
      </c>
      <c r="C53" s="405">
        <v>133816</v>
      </c>
      <c r="D53" s="351">
        <f t="shared" si="0"/>
        <v>0.014214192034142273</v>
      </c>
      <c r="E53" s="405">
        <v>9913</v>
      </c>
      <c r="F53" s="351">
        <f t="shared" si="1"/>
        <v>0.0010529778623965173</v>
      </c>
      <c r="G53" s="405">
        <f>SUM('- 43 -'!C53,'- 43 -'!E53,'- 43 -'!G53,'- 43 -'!I53,C53,E53)</f>
        <v>3293632</v>
      </c>
      <c r="H53" s="351">
        <f t="shared" si="2"/>
        <v>0.3498559046586065</v>
      </c>
      <c r="J53" s="405">
        <f>SUM('- 42 -'!G53,G53)</f>
        <v>9414253</v>
      </c>
    </row>
    <row r="54" spans="1:10" ht="12.75">
      <c r="A54" s="13">
        <v>48</v>
      </c>
      <c r="B54" s="14" t="s">
        <v>159</v>
      </c>
      <c r="C54" s="406">
        <v>1499086</v>
      </c>
      <c r="D54" s="352">
        <f t="shared" si="0"/>
        <v>0.024622702547436266</v>
      </c>
      <c r="E54" s="406">
        <v>1016082</v>
      </c>
      <c r="F54" s="352">
        <f t="shared" si="1"/>
        <v>0.01668929257547875</v>
      </c>
      <c r="G54" s="406">
        <f>SUM('- 43 -'!C54,'- 43 -'!E54,'- 43 -'!G54,'- 43 -'!I54,C54,E54)</f>
        <v>32573154</v>
      </c>
      <c r="H54" s="352">
        <f t="shared" si="2"/>
        <v>0.5350187260596349</v>
      </c>
      <c r="J54" s="406">
        <f>SUM('- 42 -'!G54,G54)</f>
        <v>60882269</v>
      </c>
    </row>
    <row r="55" spans="1:10" ht="12.75">
      <c r="A55" s="11">
        <v>49</v>
      </c>
      <c r="B55" s="12" t="s">
        <v>160</v>
      </c>
      <c r="C55" s="405">
        <v>54020</v>
      </c>
      <c r="D55" s="351">
        <f t="shared" si="0"/>
        <v>0.0014727140197385662</v>
      </c>
      <c r="E55" s="405">
        <v>159056</v>
      </c>
      <c r="F55" s="351">
        <f t="shared" si="1"/>
        <v>0.004336245855674517</v>
      </c>
      <c r="G55" s="405">
        <f>SUM('- 43 -'!C55,'- 43 -'!E55,'- 43 -'!G55,'- 43 -'!I55,C55,E55)</f>
        <v>13857522</v>
      </c>
      <c r="H55" s="351">
        <f t="shared" si="2"/>
        <v>0.3777890953023994</v>
      </c>
      <c r="J55" s="405">
        <f>SUM('- 42 -'!G55,G55)</f>
        <v>36680577</v>
      </c>
    </row>
    <row r="56" spans="1:10" ht="12.75">
      <c r="A56" s="13">
        <v>50</v>
      </c>
      <c r="B56" s="14" t="s">
        <v>343</v>
      </c>
      <c r="C56" s="406">
        <v>57936</v>
      </c>
      <c r="D56" s="352">
        <f t="shared" si="0"/>
        <v>0.0038839663706004878</v>
      </c>
      <c r="E56" s="406">
        <v>89473</v>
      </c>
      <c r="F56" s="352">
        <f t="shared" si="1"/>
        <v>0.005998172519275363</v>
      </c>
      <c r="G56" s="406">
        <f>SUM('- 43 -'!C56,'- 43 -'!E56,'- 43 -'!G56,'- 43 -'!I56,C56,E56)</f>
        <v>5659249</v>
      </c>
      <c r="H56" s="352">
        <f t="shared" si="2"/>
        <v>0.3793898922751733</v>
      </c>
      <c r="J56" s="406">
        <f>SUM('- 42 -'!G56,G56)</f>
        <v>14916710</v>
      </c>
    </row>
    <row r="57" spans="1:10" ht="12.75">
      <c r="A57" s="11">
        <v>2264</v>
      </c>
      <c r="B57" s="12" t="s">
        <v>161</v>
      </c>
      <c r="C57" s="405">
        <v>75534</v>
      </c>
      <c r="D57" s="351">
        <f t="shared" si="0"/>
        <v>0.03930021946186577</v>
      </c>
      <c r="E57" s="405">
        <v>14051</v>
      </c>
      <c r="F57" s="351">
        <f t="shared" si="1"/>
        <v>0.007310712840028013</v>
      </c>
      <c r="G57" s="405">
        <f>SUM('- 43 -'!C57,'- 43 -'!E57,'- 43 -'!G57,'- 43 -'!I57,C57,E57)</f>
        <v>573799</v>
      </c>
      <c r="H57" s="351">
        <f t="shared" si="2"/>
        <v>0.29854670250482057</v>
      </c>
      <c r="J57" s="405">
        <f>SUM('- 42 -'!G57,G57)</f>
        <v>1921974</v>
      </c>
    </row>
    <row r="58" spans="1:10" ht="12.75">
      <c r="A58" s="13">
        <v>2309</v>
      </c>
      <c r="B58" s="14" t="s">
        <v>162</v>
      </c>
      <c r="C58" s="406">
        <v>0</v>
      </c>
      <c r="D58" s="352">
        <f t="shared" si="0"/>
        <v>0</v>
      </c>
      <c r="E58" s="406">
        <v>33663</v>
      </c>
      <c r="F58" s="352">
        <f t="shared" si="1"/>
        <v>0.01653082089867402</v>
      </c>
      <c r="G58" s="406">
        <f>SUM('- 43 -'!C58,'- 43 -'!E58,'- 43 -'!G58,'- 43 -'!I58,C58,E58)</f>
        <v>622541</v>
      </c>
      <c r="H58" s="352">
        <f t="shared" si="2"/>
        <v>0.3057099418673743</v>
      </c>
      <c r="J58" s="406">
        <f>SUM('- 42 -'!G58,G58)</f>
        <v>2036378</v>
      </c>
    </row>
    <row r="59" spans="1:10" ht="12.75">
      <c r="A59" s="11">
        <v>2312</v>
      </c>
      <c r="B59" s="12" t="s">
        <v>163</v>
      </c>
      <c r="C59" s="405">
        <v>0</v>
      </c>
      <c r="D59" s="351">
        <f t="shared" si="0"/>
        <v>0</v>
      </c>
      <c r="E59" s="405">
        <v>11279</v>
      </c>
      <c r="F59" s="351">
        <f t="shared" si="1"/>
        <v>0.007707899383860087</v>
      </c>
      <c r="G59" s="405">
        <f>SUM('- 43 -'!C59,'- 43 -'!E59,'- 43 -'!G59,'- 43 -'!I59,C59,E59)</f>
        <v>125240</v>
      </c>
      <c r="H59" s="351">
        <f t="shared" si="2"/>
        <v>0.08558713705422796</v>
      </c>
      <c r="J59" s="405">
        <f>SUM('- 42 -'!G59,G59)</f>
        <v>1463304</v>
      </c>
    </row>
    <row r="60" spans="1:10" ht="12.75">
      <c r="A60" s="13">
        <v>2355</v>
      </c>
      <c r="B60" s="14" t="s">
        <v>164</v>
      </c>
      <c r="C60" s="406">
        <v>35389</v>
      </c>
      <c r="D60" s="352">
        <f t="shared" si="0"/>
        <v>0.0014373589280078094</v>
      </c>
      <c r="E60" s="406">
        <v>252858</v>
      </c>
      <c r="F60" s="352">
        <f t="shared" si="1"/>
        <v>0.010270075555065095</v>
      </c>
      <c r="G60" s="406">
        <f>SUM('- 43 -'!C60,'- 43 -'!E60,'- 43 -'!G60,'- 43 -'!I60,C60,E60)</f>
        <v>8439255</v>
      </c>
      <c r="H60" s="352">
        <f t="shared" si="2"/>
        <v>0.34276861510595225</v>
      </c>
      <c r="J60" s="406">
        <f>SUM('- 42 -'!G60,G60)</f>
        <v>24620851</v>
      </c>
    </row>
    <row r="61" spans="1:10" ht="12.75">
      <c r="A61" s="11">
        <v>2439</v>
      </c>
      <c r="B61" s="12" t="s">
        <v>165</v>
      </c>
      <c r="C61" s="405">
        <v>1000</v>
      </c>
      <c r="D61" s="351">
        <f t="shared" si="0"/>
        <v>0.0007209144661587646</v>
      </c>
      <c r="E61" s="405">
        <v>4112.14</v>
      </c>
      <c r="F61" s="351">
        <f t="shared" si="1"/>
        <v>0.0029645012128701026</v>
      </c>
      <c r="G61" s="405">
        <f>SUM('- 43 -'!C61,'- 43 -'!E61,'- 43 -'!G61,'- 43 -'!I61,C61,E61)</f>
        <v>442207.30000000005</v>
      </c>
      <c r="H61" s="351">
        <f t="shared" si="2"/>
        <v>0.3187936396110087</v>
      </c>
      <c r="J61" s="405">
        <f>SUM('- 42 -'!G61,G61)</f>
        <v>1387127.11</v>
      </c>
    </row>
    <row r="62" spans="1:10" ht="12.75">
      <c r="A62" s="13">
        <v>2460</v>
      </c>
      <c r="B62" s="14" t="s">
        <v>166</v>
      </c>
      <c r="C62" s="406">
        <v>0</v>
      </c>
      <c r="D62" s="352">
        <f t="shared" si="0"/>
        <v>0</v>
      </c>
      <c r="E62" s="406">
        <v>20780</v>
      </c>
      <c r="F62" s="352">
        <f t="shared" si="1"/>
        <v>0.007207124717940608</v>
      </c>
      <c r="G62" s="406">
        <f>SUM('- 43 -'!C62,'- 43 -'!E62,'- 43 -'!G62,'- 43 -'!I62,C62,E62)</f>
        <v>928024</v>
      </c>
      <c r="H62" s="352">
        <f t="shared" si="2"/>
        <v>0.3218664441406215</v>
      </c>
      <c r="J62" s="406">
        <f>SUM('- 42 -'!G62,G62)</f>
        <v>2883258</v>
      </c>
    </row>
    <row r="63" spans="1:10" ht="12.75">
      <c r="A63" s="11">
        <v>3000</v>
      </c>
      <c r="B63" s="12" t="s">
        <v>366</v>
      </c>
      <c r="C63" s="405">
        <v>1638816</v>
      </c>
      <c r="D63" s="351">
        <f t="shared" si="0"/>
        <v>0.1904383630316125</v>
      </c>
      <c r="E63" s="405">
        <v>73117</v>
      </c>
      <c r="F63" s="351">
        <f t="shared" si="1"/>
        <v>0.00849654981998126</v>
      </c>
      <c r="G63" s="405">
        <f>SUM('- 43 -'!C63,'- 43 -'!E63,'- 43 -'!G63,'- 43 -'!I63,C63,E63)</f>
        <v>5217006</v>
      </c>
      <c r="H63" s="351">
        <f t="shared" si="2"/>
        <v>0.6062413855894137</v>
      </c>
      <c r="J63" s="405">
        <f>SUM('- 42 -'!G63,G63)</f>
        <v>8605493</v>
      </c>
    </row>
    <row r="64" spans="1:10" ht="4.5" customHeight="1">
      <c r="A64" s="15"/>
      <c r="B64" s="15"/>
      <c r="C64" s="412"/>
      <c r="D64" s="194"/>
      <c r="E64" s="412"/>
      <c r="F64" s="194"/>
      <c r="G64" s="412"/>
      <c r="H64" s="194"/>
      <c r="J64" s="412"/>
    </row>
    <row r="65" spans="1:10" ht="12.75">
      <c r="A65" s="17"/>
      <c r="B65" s="18" t="s">
        <v>167</v>
      </c>
      <c r="C65" s="407">
        <f>SUM(C11:C63)</f>
        <v>14667139.86</v>
      </c>
      <c r="D65" s="100">
        <f>C65/$J65</f>
        <v>0.010965545044721912</v>
      </c>
      <c r="E65" s="407">
        <f>SUM(E11:E63)</f>
        <v>7214559.12</v>
      </c>
      <c r="F65" s="100">
        <f>E65/$J65</f>
        <v>0.005393796865871658</v>
      </c>
      <c r="G65" s="407">
        <f>SUM(G11:G63)</f>
        <v>547695768.1399999</v>
      </c>
      <c r="H65" s="100">
        <f>G65/$J65</f>
        <v>0.40947196751846726</v>
      </c>
      <c r="J65" s="407">
        <f>SUM(J11:J63)</f>
        <v>1337565966.87</v>
      </c>
    </row>
    <row r="66" spans="1:10" ht="4.5" customHeight="1">
      <c r="A66" s="15"/>
      <c r="B66" s="15"/>
      <c r="C66" s="412"/>
      <c r="D66" s="194"/>
      <c r="E66" s="412"/>
      <c r="F66" s="194"/>
      <c r="G66" s="412"/>
      <c r="H66" s="194"/>
      <c r="J66" s="412"/>
    </row>
    <row r="67" spans="1:10" ht="12.75">
      <c r="A67" s="13">
        <v>2155</v>
      </c>
      <c r="B67" s="14" t="s">
        <v>168</v>
      </c>
      <c r="C67" s="406">
        <v>770723</v>
      </c>
      <c r="D67" s="352">
        <f>C67/J67</f>
        <v>0.5510131275478324</v>
      </c>
      <c r="E67" s="406">
        <v>63323</v>
      </c>
      <c r="F67" s="352">
        <f>E67/J67</f>
        <v>0.04527152333031633</v>
      </c>
      <c r="G67" s="406">
        <f>SUM('- 43 -'!C67,'- 43 -'!E67,'- 43 -'!G67,'- 43 -'!I67,C67,E67)</f>
        <v>1155807</v>
      </c>
      <c r="H67" s="352">
        <f>G67/J67</f>
        <v>0.826321298198805</v>
      </c>
      <c r="J67" s="406">
        <f>SUM('- 42 -'!G67,G67)</f>
        <v>1398738</v>
      </c>
    </row>
    <row r="68" spans="1:10" ht="12.75">
      <c r="A68" s="11">
        <v>2408</v>
      </c>
      <c r="B68" s="12" t="s">
        <v>170</v>
      </c>
      <c r="C68" s="405">
        <v>6975</v>
      </c>
      <c r="D68" s="351">
        <f>C68/J68</f>
        <v>0.002948406064205505</v>
      </c>
      <c r="E68" s="405">
        <v>8261</v>
      </c>
      <c r="F68" s="351">
        <f>E68/J68</f>
        <v>0.0034920118274411006</v>
      </c>
      <c r="G68" s="405">
        <f>SUM('- 43 -'!C68,'- 43 -'!E68,'- 43 -'!G68,'- 43 -'!I68,C68,E68)</f>
        <v>1902107</v>
      </c>
      <c r="H68" s="351">
        <f>G68/J68</f>
        <v>0.8040406901172388</v>
      </c>
      <c r="J68" s="405">
        <f>SUM('- 42 -'!G68,G68)</f>
        <v>2365685</v>
      </c>
    </row>
    <row r="69" ht="6.75" customHeight="1"/>
    <row r="70" spans="1:10" ht="12" customHeight="1">
      <c r="A70" s="4"/>
      <c r="B70" s="4"/>
      <c r="C70" s="15"/>
      <c r="D70" s="15"/>
      <c r="E70" s="15"/>
      <c r="F70" s="15"/>
      <c r="G70" s="15"/>
      <c r="H70" s="15"/>
      <c r="I70" s="15"/>
      <c r="J70" s="185"/>
    </row>
    <row r="71" spans="1:10" ht="12" customHeight="1">
      <c r="A71" s="4"/>
      <c r="B71" s="4"/>
      <c r="C71" s="15"/>
      <c r="D71" s="15"/>
      <c r="E71" s="15"/>
      <c r="F71" s="15"/>
      <c r="G71" s="15"/>
      <c r="H71" s="15"/>
      <c r="I71" s="15"/>
      <c r="J71" s="15"/>
    </row>
    <row r="72" spans="1:10" ht="12" customHeight="1">
      <c r="A72" s="4"/>
      <c r="B72" s="4"/>
      <c r="C72" s="15"/>
      <c r="D72" s="15"/>
      <c r="E72" s="15"/>
      <c r="F72" s="15"/>
      <c r="G72" s="15"/>
      <c r="H72" s="15"/>
      <c r="I72" s="15"/>
      <c r="J72" s="15"/>
    </row>
    <row r="73" spans="1:10" ht="12" customHeight="1">
      <c r="A73" s="4"/>
      <c r="B73" s="4"/>
      <c r="C73" s="15"/>
      <c r="D73" s="15"/>
      <c r="E73" s="15"/>
      <c r="F73" s="15"/>
      <c r="G73" s="15"/>
      <c r="H73" s="15"/>
      <c r="I73" s="15"/>
      <c r="J73" s="15"/>
    </row>
    <row r="74" spans="1:10" ht="12" customHeight="1">
      <c r="A74" s="4"/>
      <c r="B74" s="4"/>
      <c r="C74" s="15"/>
      <c r="D74" s="15"/>
      <c r="E74" s="15"/>
      <c r="F74" s="15"/>
      <c r="G74" s="15"/>
      <c r="H74" s="15"/>
      <c r="I74" s="15"/>
      <c r="J74" s="15"/>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4"/>
  <sheetViews>
    <sheetView showGridLines="0" showZeros="0" workbookViewId="0" topLeftCell="A1">
      <selection activeCell="A1" sqref="A1"/>
    </sheetView>
  </sheetViews>
  <sheetFormatPr defaultColWidth="12.83203125" defaultRowHeight="12"/>
  <cols>
    <col min="1" max="1" width="6.83203125" style="15" customWidth="1"/>
    <col min="2" max="2" width="30.83203125" style="15" customWidth="1"/>
    <col min="3" max="9" width="14.83203125" style="15" customWidth="1"/>
    <col min="10" max="10" width="15.83203125" style="15" customWidth="1"/>
    <col min="11" max="16384" width="12.83203125" style="15" customWidth="1"/>
  </cols>
  <sheetData>
    <row r="1" spans="2:10" ht="6.75" customHeight="1">
      <c r="B1" s="19"/>
      <c r="C1" s="20"/>
      <c r="D1" s="20"/>
      <c r="E1" s="20"/>
      <c r="F1" s="20"/>
      <c r="G1" s="20"/>
      <c r="H1" s="20"/>
      <c r="I1" s="20"/>
      <c r="J1" s="20"/>
    </row>
    <row r="2" spans="1:9" ht="12.75">
      <c r="A2" s="6"/>
      <c r="B2" s="21"/>
      <c r="C2" s="22" t="s">
        <v>297</v>
      </c>
      <c r="D2" s="22"/>
      <c r="E2" s="22"/>
      <c r="F2" s="22"/>
      <c r="G2" s="22"/>
      <c r="H2" s="22"/>
      <c r="I2" s="24" t="s">
        <v>298</v>
      </c>
    </row>
    <row r="3" spans="1:9" ht="12.75">
      <c r="A3" s="7"/>
      <c r="B3" s="25"/>
      <c r="C3" s="269" t="str">
        <f>"ACTUAL SEPTEMBER 30, "&amp;REPLACE(REPLACE(YEAR,1,22,""),5,5,"")</f>
        <v>ACTUAL SEPTEMBER 30, 2001</v>
      </c>
      <c r="D3" s="26"/>
      <c r="E3" s="269"/>
      <c r="F3" s="26"/>
      <c r="G3" s="269"/>
      <c r="H3" s="26"/>
      <c r="I3" s="27"/>
    </row>
    <row r="4" spans="1:10" ht="12.75">
      <c r="A4" s="8"/>
      <c r="C4" s="20"/>
      <c r="D4" s="20"/>
      <c r="E4" s="20"/>
      <c r="F4" s="20"/>
      <c r="G4" s="20"/>
      <c r="H4" s="270"/>
      <c r="I4" s="20"/>
      <c r="J4" s="20"/>
    </row>
    <row r="5" spans="1:10" ht="12.75">
      <c r="A5" s="8"/>
      <c r="C5" s="20"/>
      <c r="D5" s="20"/>
      <c r="E5" s="20"/>
      <c r="F5" s="20"/>
      <c r="G5" s="20"/>
      <c r="H5" s="20"/>
      <c r="I5" s="20"/>
      <c r="J5" s="20"/>
    </row>
    <row r="6" spans="1:9" ht="12.75">
      <c r="A6" s="8"/>
      <c r="C6" s="271" t="s">
        <v>63</v>
      </c>
      <c r="D6" s="272"/>
      <c r="E6" s="272"/>
      <c r="F6" s="272"/>
      <c r="G6" s="272"/>
      <c r="H6" s="272"/>
      <c r="I6" s="273"/>
    </row>
    <row r="7" spans="3:9" ht="16.5">
      <c r="C7" s="274" t="s">
        <v>396</v>
      </c>
      <c r="D7" s="275"/>
      <c r="E7" s="275"/>
      <c r="F7" s="276" t="s">
        <v>397</v>
      </c>
      <c r="G7" s="275"/>
      <c r="H7" s="275"/>
      <c r="I7" s="51"/>
    </row>
    <row r="8" spans="1:9" ht="12.75">
      <c r="A8" s="42"/>
      <c r="B8" s="43"/>
      <c r="C8" s="277" t="s">
        <v>87</v>
      </c>
      <c r="D8" s="278" t="s">
        <v>3</v>
      </c>
      <c r="E8" s="277" t="s">
        <v>88</v>
      </c>
      <c r="F8" s="279" t="s">
        <v>87</v>
      </c>
      <c r="G8" s="278" t="s">
        <v>3</v>
      </c>
      <c r="H8" s="277" t="s">
        <v>88</v>
      </c>
      <c r="I8" s="370" t="s">
        <v>58</v>
      </c>
    </row>
    <row r="9" spans="1:9" ht="12.75">
      <c r="A9" s="49" t="s">
        <v>101</v>
      </c>
      <c r="B9" s="50" t="s">
        <v>102</v>
      </c>
      <c r="C9" s="280" t="s">
        <v>106</v>
      </c>
      <c r="D9" s="280" t="s">
        <v>40</v>
      </c>
      <c r="E9" s="280" t="s">
        <v>107</v>
      </c>
      <c r="F9" s="281" t="s">
        <v>106</v>
      </c>
      <c r="G9" s="280" t="s">
        <v>40</v>
      </c>
      <c r="H9" s="280" t="s">
        <v>107</v>
      </c>
      <c r="I9" s="250" t="s">
        <v>108</v>
      </c>
    </row>
    <row r="10" spans="1:9" ht="4.5" customHeight="1">
      <c r="A10" s="74"/>
      <c r="B10" s="74"/>
      <c r="C10" s="102"/>
      <c r="D10" s="102"/>
      <c r="E10" s="102"/>
      <c r="F10" s="102"/>
      <c r="G10" s="102"/>
      <c r="H10" s="102"/>
      <c r="I10" s="102"/>
    </row>
    <row r="11" spans="1:9" ht="12.75">
      <c r="A11" s="11">
        <v>1</v>
      </c>
      <c r="B11" s="12" t="s">
        <v>116</v>
      </c>
      <c r="C11" s="339">
        <v>22731.2</v>
      </c>
      <c r="D11" s="339">
        <v>0</v>
      </c>
      <c r="E11" s="345">
        <v>759</v>
      </c>
      <c r="F11" s="343">
        <v>3549</v>
      </c>
      <c r="G11" s="339">
        <v>0</v>
      </c>
      <c r="H11" s="339">
        <v>1660</v>
      </c>
      <c r="I11" s="339">
        <v>295.5</v>
      </c>
    </row>
    <row r="12" spans="1:9" ht="12.75">
      <c r="A12" s="13">
        <v>2</v>
      </c>
      <c r="B12" s="14" t="s">
        <v>117</v>
      </c>
      <c r="C12" s="340">
        <v>6110.03</v>
      </c>
      <c r="D12" s="340">
        <v>0</v>
      </c>
      <c r="E12" s="346">
        <v>695.5</v>
      </c>
      <c r="F12" s="344">
        <v>916.34</v>
      </c>
      <c r="G12" s="340">
        <v>0</v>
      </c>
      <c r="H12" s="340">
        <v>516</v>
      </c>
      <c r="I12" s="340">
        <v>0</v>
      </c>
    </row>
    <row r="13" spans="1:9" ht="12.75">
      <c r="A13" s="11">
        <v>3</v>
      </c>
      <c r="B13" s="12" t="s">
        <v>118</v>
      </c>
      <c r="C13" s="339">
        <v>3403</v>
      </c>
      <c r="D13" s="339">
        <v>0</v>
      </c>
      <c r="E13" s="345">
        <v>155</v>
      </c>
      <c r="F13" s="343">
        <v>1437.5</v>
      </c>
      <c r="G13" s="339">
        <v>0</v>
      </c>
      <c r="H13" s="339">
        <v>858</v>
      </c>
      <c r="I13" s="339">
        <v>0</v>
      </c>
    </row>
    <row r="14" spans="1:9" ht="12.75">
      <c r="A14" s="13">
        <v>4</v>
      </c>
      <c r="B14" s="14" t="s">
        <v>119</v>
      </c>
      <c r="C14" s="340">
        <v>3845.3</v>
      </c>
      <c r="D14" s="340">
        <v>369</v>
      </c>
      <c r="E14" s="346">
        <v>1425.5</v>
      </c>
      <c r="F14" s="344">
        <v>0</v>
      </c>
      <c r="G14" s="340">
        <v>0</v>
      </c>
      <c r="H14" s="340">
        <v>0</v>
      </c>
      <c r="I14" s="340">
        <v>0</v>
      </c>
    </row>
    <row r="15" spans="1:9" ht="12.75">
      <c r="A15" s="11">
        <v>5</v>
      </c>
      <c r="B15" s="12" t="s">
        <v>120</v>
      </c>
      <c r="C15" s="339">
        <v>5435.6</v>
      </c>
      <c r="D15" s="339">
        <v>0</v>
      </c>
      <c r="E15" s="345">
        <v>735.5</v>
      </c>
      <c r="F15" s="343">
        <v>826.5</v>
      </c>
      <c r="G15" s="339">
        <v>0</v>
      </c>
      <c r="H15" s="339">
        <v>173</v>
      </c>
      <c r="I15" s="339">
        <v>0</v>
      </c>
    </row>
    <row r="16" spans="1:9" ht="12.75">
      <c r="A16" s="13">
        <v>6</v>
      </c>
      <c r="B16" s="14" t="s">
        <v>121</v>
      </c>
      <c r="C16" s="340">
        <v>6862.3</v>
      </c>
      <c r="D16" s="340">
        <v>0</v>
      </c>
      <c r="E16" s="346">
        <v>1846.7</v>
      </c>
      <c r="F16" s="344">
        <v>0</v>
      </c>
      <c r="G16" s="340">
        <v>0</v>
      </c>
      <c r="H16" s="340">
        <v>0</v>
      </c>
      <c r="I16" s="340">
        <v>0</v>
      </c>
    </row>
    <row r="17" spans="1:9" ht="12.75">
      <c r="A17" s="11">
        <v>9</v>
      </c>
      <c r="B17" s="12" t="s">
        <v>122</v>
      </c>
      <c r="C17" s="339">
        <v>7430.7</v>
      </c>
      <c r="D17" s="339">
        <v>0</v>
      </c>
      <c r="E17" s="345">
        <v>0</v>
      </c>
      <c r="F17" s="343">
        <v>2916.5</v>
      </c>
      <c r="G17" s="339">
        <v>0</v>
      </c>
      <c r="H17" s="339">
        <v>1195</v>
      </c>
      <c r="I17" s="339">
        <v>594</v>
      </c>
    </row>
    <row r="18" spans="1:9" ht="12.75">
      <c r="A18" s="13">
        <v>10</v>
      </c>
      <c r="B18" s="14" t="s">
        <v>123</v>
      </c>
      <c r="C18" s="340">
        <v>4545.5</v>
      </c>
      <c r="D18" s="340">
        <v>0</v>
      </c>
      <c r="E18" s="346">
        <v>188</v>
      </c>
      <c r="F18" s="344">
        <v>2789.5</v>
      </c>
      <c r="G18" s="340">
        <v>0</v>
      </c>
      <c r="H18" s="340">
        <v>683.5</v>
      </c>
      <c r="I18" s="340">
        <v>201</v>
      </c>
    </row>
    <row r="19" spans="1:9" ht="12.75">
      <c r="A19" s="11">
        <v>11</v>
      </c>
      <c r="B19" s="12" t="s">
        <v>124</v>
      </c>
      <c r="C19" s="339">
        <v>3178.5</v>
      </c>
      <c r="D19" s="339">
        <v>0</v>
      </c>
      <c r="E19" s="345">
        <v>183.5</v>
      </c>
      <c r="F19" s="343">
        <v>893.5</v>
      </c>
      <c r="G19" s="339">
        <v>0</v>
      </c>
      <c r="H19" s="339">
        <v>60</v>
      </c>
      <c r="I19" s="339">
        <v>116</v>
      </c>
    </row>
    <row r="20" spans="1:9" ht="12.75">
      <c r="A20" s="13">
        <v>12</v>
      </c>
      <c r="B20" s="14" t="s">
        <v>125</v>
      </c>
      <c r="C20" s="340">
        <v>5227.8</v>
      </c>
      <c r="D20" s="340">
        <v>0</v>
      </c>
      <c r="E20" s="346">
        <v>1063</v>
      </c>
      <c r="F20" s="344">
        <v>1038.5</v>
      </c>
      <c r="G20" s="340">
        <v>0</v>
      </c>
      <c r="H20" s="340">
        <v>215</v>
      </c>
      <c r="I20" s="340">
        <v>79</v>
      </c>
    </row>
    <row r="21" spans="1:9" ht="12.75">
      <c r="A21" s="11">
        <v>13</v>
      </c>
      <c r="B21" s="12" t="s">
        <v>126</v>
      </c>
      <c r="C21" s="339">
        <v>1736.1</v>
      </c>
      <c r="D21" s="339">
        <v>0</v>
      </c>
      <c r="E21" s="345">
        <v>0</v>
      </c>
      <c r="F21" s="343">
        <v>678</v>
      </c>
      <c r="G21" s="339">
        <v>0</v>
      </c>
      <c r="H21" s="339">
        <v>243.7</v>
      </c>
      <c r="I21" s="339">
        <v>0</v>
      </c>
    </row>
    <row r="22" spans="1:9" ht="12.75">
      <c r="A22" s="13">
        <v>14</v>
      </c>
      <c r="B22" s="14" t="s">
        <v>127</v>
      </c>
      <c r="C22" s="340">
        <v>1598.5</v>
      </c>
      <c r="D22" s="340">
        <v>0</v>
      </c>
      <c r="E22" s="346">
        <v>636.5</v>
      </c>
      <c r="F22" s="344">
        <v>851.5</v>
      </c>
      <c r="G22" s="340">
        <v>0</v>
      </c>
      <c r="H22" s="340">
        <v>429</v>
      </c>
      <c r="I22" s="340">
        <v>0</v>
      </c>
    </row>
    <row r="23" spans="1:9" ht="12.75">
      <c r="A23" s="11">
        <v>15</v>
      </c>
      <c r="B23" s="12" t="s">
        <v>128</v>
      </c>
      <c r="C23" s="339">
        <v>5733.6</v>
      </c>
      <c r="D23" s="339">
        <v>0</v>
      </c>
      <c r="E23" s="345">
        <v>0</v>
      </c>
      <c r="F23" s="343">
        <v>0</v>
      </c>
      <c r="G23" s="339">
        <v>0</v>
      </c>
      <c r="H23" s="339">
        <v>0</v>
      </c>
      <c r="I23" s="339">
        <v>0</v>
      </c>
    </row>
    <row r="24" spans="1:9" ht="12.75">
      <c r="A24" s="13">
        <v>16</v>
      </c>
      <c r="B24" s="14" t="s">
        <v>129</v>
      </c>
      <c r="C24" s="340">
        <v>799</v>
      </c>
      <c r="D24" s="340">
        <v>0</v>
      </c>
      <c r="E24" s="346">
        <v>0</v>
      </c>
      <c r="F24" s="344">
        <v>0</v>
      </c>
      <c r="G24" s="340">
        <v>0</v>
      </c>
      <c r="H24" s="340">
        <v>0</v>
      </c>
      <c r="I24" s="340">
        <v>0</v>
      </c>
    </row>
    <row r="25" spans="1:9" ht="12.75">
      <c r="A25" s="11">
        <v>17</v>
      </c>
      <c r="B25" s="12" t="s">
        <v>130</v>
      </c>
      <c r="C25" s="339">
        <v>29</v>
      </c>
      <c r="D25" s="339">
        <v>168.5</v>
      </c>
      <c r="E25" s="345">
        <v>268.5</v>
      </c>
      <c r="F25" s="343">
        <v>0</v>
      </c>
      <c r="G25" s="339">
        <v>0</v>
      </c>
      <c r="H25" s="339">
        <v>0</v>
      </c>
      <c r="I25" s="339">
        <v>0</v>
      </c>
    </row>
    <row r="26" spans="1:9" ht="12.75">
      <c r="A26" s="13">
        <v>18</v>
      </c>
      <c r="B26" s="14" t="s">
        <v>131</v>
      </c>
      <c r="C26" s="340">
        <v>1389.5</v>
      </c>
      <c r="D26" s="340">
        <v>0</v>
      </c>
      <c r="E26" s="346">
        <v>0</v>
      </c>
      <c r="F26" s="344">
        <v>0</v>
      </c>
      <c r="G26" s="340">
        <v>0</v>
      </c>
      <c r="H26" s="340">
        <v>0</v>
      </c>
      <c r="I26" s="340">
        <v>0</v>
      </c>
    </row>
    <row r="27" spans="1:9" ht="12.75">
      <c r="A27" s="11">
        <v>19</v>
      </c>
      <c r="B27" s="12" t="s">
        <v>132</v>
      </c>
      <c r="C27" s="339">
        <v>1840.5</v>
      </c>
      <c r="D27" s="339">
        <v>0</v>
      </c>
      <c r="E27" s="345">
        <v>0</v>
      </c>
      <c r="F27" s="343">
        <v>0</v>
      </c>
      <c r="G27" s="339">
        <v>0</v>
      </c>
      <c r="H27" s="339">
        <v>0</v>
      </c>
      <c r="I27" s="339">
        <v>0</v>
      </c>
    </row>
    <row r="28" spans="1:9" ht="12.75">
      <c r="A28" s="13">
        <v>20</v>
      </c>
      <c r="B28" s="14" t="s">
        <v>133</v>
      </c>
      <c r="C28" s="340">
        <v>421.5</v>
      </c>
      <c r="D28" s="340">
        <v>0</v>
      </c>
      <c r="E28" s="346">
        <v>106.5</v>
      </c>
      <c r="F28" s="344">
        <v>274.5</v>
      </c>
      <c r="G28" s="340">
        <v>0</v>
      </c>
      <c r="H28" s="340">
        <v>143</v>
      </c>
      <c r="I28" s="340">
        <v>0</v>
      </c>
    </row>
    <row r="29" spans="1:9" ht="12.75">
      <c r="A29" s="11">
        <v>21</v>
      </c>
      <c r="B29" s="12" t="s">
        <v>134</v>
      </c>
      <c r="C29" s="339">
        <v>3411.5</v>
      </c>
      <c r="D29" s="339">
        <v>0</v>
      </c>
      <c r="E29" s="345">
        <v>0</v>
      </c>
      <c r="F29" s="343">
        <v>0</v>
      </c>
      <c r="G29" s="339">
        <v>0</v>
      </c>
      <c r="H29" s="339">
        <v>0</v>
      </c>
      <c r="I29" s="339">
        <v>0</v>
      </c>
    </row>
    <row r="30" spans="1:9" ht="12.75">
      <c r="A30" s="13">
        <v>22</v>
      </c>
      <c r="B30" s="14" t="s">
        <v>135</v>
      </c>
      <c r="C30" s="340">
        <v>1745.5</v>
      </c>
      <c r="D30" s="340">
        <v>0</v>
      </c>
      <c r="E30" s="346">
        <v>0</v>
      </c>
      <c r="F30" s="344">
        <v>0</v>
      </c>
      <c r="G30" s="340">
        <v>0</v>
      </c>
      <c r="H30" s="340">
        <v>0</v>
      </c>
      <c r="I30" s="340">
        <v>0</v>
      </c>
    </row>
    <row r="31" spans="1:9" ht="12.75">
      <c r="A31" s="11">
        <v>23</v>
      </c>
      <c r="B31" s="12" t="s">
        <v>136</v>
      </c>
      <c r="C31" s="339">
        <v>1401</v>
      </c>
      <c r="D31" s="339">
        <v>0</v>
      </c>
      <c r="E31" s="345">
        <v>0</v>
      </c>
      <c r="F31" s="343">
        <v>0</v>
      </c>
      <c r="G31" s="339">
        <v>0</v>
      </c>
      <c r="H31" s="339">
        <v>0</v>
      </c>
      <c r="I31" s="339">
        <v>0</v>
      </c>
    </row>
    <row r="32" spans="1:9" ht="12.75">
      <c r="A32" s="13">
        <v>24</v>
      </c>
      <c r="B32" s="14" t="s">
        <v>137</v>
      </c>
      <c r="C32" s="340">
        <v>2949.6</v>
      </c>
      <c r="D32" s="340">
        <v>0</v>
      </c>
      <c r="E32" s="346">
        <v>0</v>
      </c>
      <c r="F32" s="344">
        <v>268.5</v>
      </c>
      <c r="G32" s="340">
        <v>0</v>
      </c>
      <c r="H32" s="340">
        <v>221</v>
      </c>
      <c r="I32" s="340">
        <v>0</v>
      </c>
    </row>
    <row r="33" spans="1:9" ht="12.75">
      <c r="A33" s="11">
        <v>25</v>
      </c>
      <c r="B33" s="12" t="s">
        <v>138</v>
      </c>
      <c r="C33" s="339">
        <v>1459.1</v>
      </c>
      <c r="D33" s="339">
        <v>0</v>
      </c>
      <c r="E33" s="345">
        <v>0</v>
      </c>
      <c r="F33" s="343">
        <v>0</v>
      </c>
      <c r="G33" s="339">
        <v>0</v>
      </c>
      <c r="H33" s="339">
        <v>0</v>
      </c>
      <c r="I33" s="339">
        <v>0</v>
      </c>
    </row>
    <row r="34" spans="1:9" ht="12.75">
      <c r="A34" s="13">
        <v>26</v>
      </c>
      <c r="B34" s="14" t="s">
        <v>139</v>
      </c>
      <c r="C34" s="340">
        <v>2738.2</v>
      </c>
      <c r="D34" s="340">
        <v>0</v>
      </c>
      <c r="E34" s="346">
        <v>0</v>
      </c>
      <c r="F34" s="344">
        <v>0</v>
      </c>
      <c r="G34" s="340">
        <v>0</v>
      </c>
      <c r="H34" s="340">
        <v>0</v>
      </c>
      <c r="I34" s="340">
        <v>0</v>
      </c>
    </row>
    <row r="35" spans="1:9" ht="12.75">
      <c r="A35" s="11">
        <v>28</v>
      </c>
      <c r="B35" s="12" t="s">
        <v>140</v>
      </c>
      <c r="C35" s="339">
        <v>396.52</v>
      </c>
      <c r="D35" s="339">
        <v>0</v>
      </c>
      <c r="E35" s="345">
        <v>61</v>
      </c>
      <c r="F35" s="343">
        <v>196.3</v>
      </c>
      <c r="G35" s="339">
        <v>163.5</v>
      </c>
      <c r="H35" s="339">
        <v>64</v>
      </c>
      <c r="I35" s="339">
        <v>0</v>
      </c>
    </row>
    <row r="36" spans="1:9" ht="12.75">
      <c r="A36" s="13">
        <v>30</v>
      </c>
      <c r="B36" s="14" t="s">
        <v>141</v>
      </c>
      <c r="C36" s="340">
        <v>1301.7</v>
      </c>
      <c r="D36" s="340">
        <v>0</v>
      </c>
      <c r="E36" s="346">
        <v>0</v>
      </c>
      <c r="F36" s="344">
        <v>0</v>
      </c>
      <c r="G36" s="340">
        <v>0</v>
      </c>
      <c r="H36" s="340">
        <v>0</v>
      </c>
      <c r="I36" s="340">
        <v>0</v>
      </c>
    </row>
    <row r="37" spans="1:9" ht="12.75">
      <c r="A37" s="11">
        <v>31</v>
      </c>
      <c r="B37" s="12" t="s">
        <v>142</v>
      </c>
      <c r="C37" s="339">
        <v>1607</v>
      </c>
      <c r="D37" s="339">
        <v>0</v>
      </c>
      <c r="E37" s="345">
        <v>0</v>
      </c>
      <c r="F37" s="343">
        <v>0</v>
      </c>
      <c r="G37" s="339">
        <v>0</v>
      </c>
      <c r="H37" s="339">
        <v>0</v>
      </c>
      <c r="I37" s="339">
        <v>0</v>
      </c>
    </row>
    <row r="38" spans="1:9" ht="12.75">
      <c r="A38" s="13">
        <v>32</v>
      </c>
      <c r="B38" s="14" t="s">
        <v>143</v>
      </c>
      <c r="C38" s="340">
        <v>786</v>
      </c>
      <c r="D38" s="340">
        <v>43</v>
      </c>
      <c r="E38" s="346">
        <v>0</v>
      </c>
      <c r="F38" s="344">
        <v>0</v>
      </c>
      <c r="G38" s="340">
        <v>0</v>
      </c>
      <c r="H38" s="340">
        <v>0</v>
      </c>
      <c r="I38" s="340">
        <v>0</v>
      </c>
    </row>
    <row r="39" spans="1:9" ht="12.75">
      <c r="A39" s="11">
        <v>33</v>
      </c>
      <c r="B39" s="12" t="s">
        <v>144</v>
      </c>
      <c r="C39" s="339">
        <v>1297.5</v>
      </c>
      <c r="D39" s="339">
        <v>0</v>
      </c>
      <c r="E39" s="345">
        <v>101.5</v>
      </c>
      <c r="F39" s="343">
        <v>217</v>
      </c>
      <c r="G39" s="339">
        <v>0</v>
      </c>
      <c r="H39" s="339">
        <v>38</v>
      </c>
      <c r="I39" s="339">
        <v>98.5</v>
      </c>
    </row>
    <row r="40" spans="1:9" ht="12.75">
      <c r="A40" s="13">
        <v>34</v>
      </c>
      <c r="B40" s="14" t="s">
        <v>145</v>
      </c>
      <c r="C40" s="340">
        <v>733</v>
      </c>
      <c r="D40" s="340">
        <v>0</v>
      </c>
      <c r="E40" s="346">
        <v>0</v>
      </c>
      <c r="F40" s="344">
        <v>0</v>
      </c>
      <c r="G40" s="340">
        <v>0</v>
      </c>
      <c r="H40" s="340">
        <v>0</v>
      </c>
      <c r="I40" s="340">
        <v>0</v>
      </c>
    </row>
    <row r="41" spans="1:9" ht="12.75">
      <c r="A41" s="11">
        <v>35</v>
      </c>
      <c r="B41" s="12" t="s">
        <v>146</v>
      </c>
      <c r="C41" s="339">
        <v>1479.9</v>
      </c>
      <c r="D41" s="339">
        <v>0</v>
      </c>
      <c r="E41" s="345">
        <v>0</v>
      </c>
      <c r="F41" s="343">
        <v>182</v>
      </c>
      <c r="G41" s="339">
        <v>0</v>
      </c>
      <c r="H41" s="339">
        <v>112.5</v>
      </c>
      <c r="I41" s="339">
        <v>0</v>
      </c>
    </row>
    <row r="42" spans="1:9" ht="12.75">
      <c r="A42" s="13">
        <v>36</v>
      </c>
      <c r="B42" s="14" t="s">
        <v>147</v>
      </c>
      <c r="C42" s="340">
        <v>1008.5</v>
      </c>
      <c r="D42" s="340">
        <v>0</v>
      </c>
      <c r="E42" s="346">
        <v>0</v>
      </c>
      <c r="F42" s="344">
        <v>0</v>
      </c>
      <c r="G42" s="340">
        <v>0</v>
      </c>
      <c r="H42" s="340">
        <v>0</v>
      </c>
      <c r="I42" s="340">
        <v>0</v>
      </c>
    </row>
    <row r="43" spans="1:9" ht="12.75">
      <c r="A43" s="11">
        <v>37</v>
      </c>
      <c r="B43" s="12" t="s">
        <v>148</v>
      </c>
      <c r="C43" s="339">
        <v>911</v>
      </c>
      <c r="D43" s="339">
        <v>0</v>
      </c>
      <c r="E43" s="345">
        <v>0</v>
      </c>
      <c r="F43" s="343">
        <v>0</v>
      </c>
      <c r="G43" s="339">
        <v>0</v>
      </c>
      <c r="H43" s="339">
        <v>0</v>
      </c>
      <c r="I43" s="339">
        <v>0</v>
      </c>
    </row>
    <row r="44" spans="1:9" ht="12.75">
      <c r="A44" s="13">
        <v>38</v>
      </c>
      <c r="B44" s="14" t="s">
        <v>149</v>
      </c>
      <c r="C44" s="340">
        <v>1168</v>
      </c>
      <c r="D44" s="340">
        <v>0</v>
      </c>
      <c r="E44" s="346">
        <v>0</v>
      </c>
      <c r="F44" s="344">
        <v>0</v>
      </c>
      <c r="G44" s="340">
        <v>0</v>
      </c>
      <c r="H44" s="340">
        <v>0</v>
      </c>
      <c r="I44" s="340">
        <v>0</v>
      </c>
    </row>
    <row r="45" spans="1:9" ht="12.75">
      <c r="A45" s="11">
        <v>39</v>
      </c>
      <c r="B45" s="12" t="s">
        <v>150</v>
      </c>
      <c r="C45" s="339">
        <v>2101</v>
      </c>
      <c r="D45" s="339">
        <v>0</v>
      </c>
      <c r="E45" s="345">
        <v>0</v>
      </c>
      <c r="F45" s="343">
        <v>0</v>
      </c>
      <c r="G45" s="339">
        <v>0</v>
      </c>
      <c r="H45" s="339">
        <v>0</v>
      </c>
      <c r="I45" s="339">
        <v>0</v>
      </c>
    </row>
    <row r="46" spans="1:9" ht="12.75">
      <c r="A46" s="13">
        <v>40</v>
      </c>
      <c r="B46" s="14" t="s">
        <v>151</v>
      </c>
      <c r="C46" s="340">
        <v>5661.9</v>
      </c>
      <c r="D46" s="340">
        <v>0</v>
      </c>
      <c r="E46" s="346">
        <v>0</v>
      </c>
      <c r="F46" s="344">
        <v>696.9</v>
      </c>
      <c r="G46" s="340">
        <v>0</v>
      </c>
      <c r="H46" s="340">
        <v>477.6</v>
      </c>
      <c r="I46" s="340">
        <v>0</v>
      </c>
    </row>
    <row r="47" spans="1:9" ht="12.75">
      <c r="A47" s="11">
        <v>41</v>
      </c>
      <c r="B47" s="12" t="s">
        <v>152</v>
      </c>
      <c r="C47" s="339">
        <v>1625.7</v>
      </c>
      <c r="D47" s="339">
        <v>0</v>
      </c>
      <c r="E47" s="345">
        <v>0</v>
      </c>
      <c r="F47" s="343">
        <v>0</v>
      </c>
      <c r="G47" s="339">
        <v>0</v>
      </c>
      <c r="H47" s="339">
        <v>0</v>
      </c>
      <c r="I47" s="339">
        <v>0</v>
      </c>
    </row>
    <row r="48" spans="1:9" ht="12.75">
      <c r="A48" s="13">
        <v>42</v>
      </c>
      <c r="B48" s="14" t="s">
        <v>153</v>
      </c>
      <c r="C48" s="340">
        <v>1057</v>
      </c>
      <c r="D48" s="340">
        <v>0</v>
      </c>
      <c r="E48" s="346">
        <v>0</v>
      </c>
      <c r="F48" s="344">
        <v>0</v>
      </c>
      <c r="G48" s="340">
        <v>0</v>
      </c>
      <c r="H48" s="340">
        <v>0</v>
      </c>
      <c r="I48" s="340">
        <v>0</v>
      </c>
    </row>
    <row r="49" spans="1:9" ht="12.75">
      <c r="A49" s="11">
        <v>43</v>
      </c>
      <c r="B49" s="12" t="s">
        <v>154</v>
      </c>
      <c r="C49" s="339">
        <v>778.5</v>
      </c>
      <c r="D49" s="339">
        <v>0</v>
      </c>
      <c r="E49" s="345">
        <v>0</v>
      </c>
      <c r="F49" s="343">
        <v>0</v>
      </c>
      <c r="G49" s="339">
        <v>0</v>
      </c>
      <c r="H49" s="339">
        <v>0</v>
      </c>
      <c r="I49" s="339">
        <v>0</v>
      </c>
    </row>
    <row r="50" spans="1:9" ht="12.75">
      <c r="A50" s="13">
        <v>44</v>
      </c>
      <c r="B50" s="14" t="s">
        <v>155</v>
      </c>
      <c r="C50" s="340">
        <v>1243.5</v>
      </c>
      <c r="D50" s="340">
        <v>0</v>
      </c>
      <c r="E50" s="346">
        <v>0</v>
      </c>
      <c r="F50" s="344">
        <v>0</v>
      </c>
      <c r="G50" s="340">
        <v>0</v>
      </c>
      <c r="H50" s="340">
        <v>0</v>
      </c>
      <c r="I50" s="340">
        <v>0</v>
      </c>
    </row>
    <row r="51" spans="1:9" ht="12.75">
      <c r="A51" s="11">
        <v>45</v>
      </c>
      <c r="B51" s="12" t="s">
        <v>156</v>
      </c>
      <c r="C51" s="339">
        <v>1314.6</v>
      </c>
      <c r="D51" s="339">
        <v>0</v>
      </c>
      <c r="E51" s="345">
        <v>0</v>
      </c>
      <c r="F51" s="343">
        <v>362</v>
      </c>
      <c r="G51" s="339">
        <v>0</v>
      </c>
      <c r="H51" s="339">
        <v>170.5</v>
      </c>
      <c r="I51" s="339">
        <v>0</v>
      </c>
    </row>
    <row r="52" spans="1:9" ht="12.75">
      <c r="A52" s="13">
        <v>46</v>
      </c>
      <c r="B52" s="14" t="s">
        <v>157</v>
      </c>
      <c r="C52" s="340">
        <v>983.4</v>
      </c>
      <c r="D52" s="340">
        <v>0</v>
      </c>
      <c r="E52" s="346">
        <v>0</v>
      </c>
      <c r="F52" s="344">
        <v>324.5</v>
      </c>
      <c r="G52" s="340">
        <v>105.5</v>
      </c>
      <c r="H52" s="340">
        <v>0</v>
      </c>
      <c r="I52" s="340">
        <v>0</v>
      </c>
    </row>
    <row r="53" spans="1:9" ht="12.75">
      <c r="A53" s="11">
        <v>47</v>
      </c>
      <c r="B53" s="12" t="s">
        <v>158</v>
      </c>
      <c r="C53" s="339">
        <v>889.5</v>
      </c>
      <c r="D53" s="339">
        <v>0</v>
      </c>
      <c r="E53" s="345">
        <v>0</v>
      </c>
      <c r="F53" s="343">
        <v>442</v>
      </c>
      <c r="G53" s="339">
        <v>0</v>
      </c>
      <c r="H53" s="339">
        <v>104</v>
      </c>
      <c r="I53" s="339">
        <v>0</v>
      </c>
    </row>
    <row r="54" spans="1:9" ht="12.75">
      <c r="A54" s="13">
        <v>48</v>
      </c>
      <c r="B54" s="14" t="s">
        <v>159</v>
      </c>
      <c r="C54" s="340">
        <v>5207.8</v>
      </c>
      <c r="D54" s="340">
        <v>0</v>
      </c>
      <c r="E54" s="346">
        <v>0</v>
      </c>
      <c r="F54" s="344">
        <v>0</v>
      </c>
      <c r="G54" s="340">
        <v>0</v>
      </c>
      <c r="H54" s="340">
        <v>0</v>
      </c>
      <c r="I54" s="340">
        <v>0</v>
      </c>
    </row>
    <row r="55" spans="1:9" ht="12.75">
      <c r="A55" s="11">
        <v>49</v>
      </c>
      <c r="B55" s="12" t="s">
        <v>160</v>
      </c>
      <c r="C55" s="339">
        <v>0</v>
      </c>
      <c r="D55" s="339">
        <v>4215.2</v>
      </c>
      <c r="E55" s="345">
        <v>0</v>
      </c>
      <c r="F55" s="343">
        <v>0</v>
      </c>
      <c r="G55" s="339">
        <v>0</v>
      </c>
      <c r="H55" s="339">
        <v>0</v>
      </c>
      <c r="I55" s="339">
        <v>0</v>
      </c>
    </row>
    <row r="56" spans="1:9" ht="12.75">
      <c r="A56" s="13">
        <v>50</v>
      </c>
      <c r="B56" s="14" t="s">
        <v>343</v>
      </c>
      <c r="C56" s="340">
        <v>1762.3</v>
      </c>
      <c r="D56" s="340">
        <v>0</v>
      </c>
      <c r="E56" s="346">
        <v>0</v>
      </c>
      <c r="F56" s="344">
        <v>0</v>
      </c>
      <c r="G56" s="340">
        <v>0</v>
      </c>
      <c r="H56" s="340">
        <v>0</v>
      </c>
      <c r="I56" s="340">
        <v>0</v>
      </c>
    </row>
    <row r="57" spans="1:9" ht="12.75">
      <c r="A57" s="11">
        <v>2264</v>
      </c>
      <c r="B57" s="12" t="s">
        <v>161</v>
      </c>
      <c r="C57" s="339">
        <v>196.5</v>
      </c>
      <c r="D57" s="339">
        <v>0</v>
      </c>
      <c r="E57" s="345">
        <v>0</v>
      </c>
      <c r="F57" s="343">
        <v>0</v>
      </c>
      <c r="G57" s="339">
        <v>0</v>
      </c>
      <c r="H57" s="339">
        <v>0</v>
      </c>
      <c r="I57" s="339">
        <v>0</v>
      </c>
    </row>
    <row r="58" spans="1:9" ht="12.75">
      <c r="A58" s="13">
        <v>2309</v>
      </c>
      <c r="B58" s="14" t="s">
        <v>162</v>
      </c>
      <c r="C58" s="340">
        <v>260.7</v>
      </c>
      <c r="D58" s="340">
        <v>0</v>
      </c>
      <c r="E58" s="346">
        <v>0</v>
      </c>
      <c r="F58" s="344">
        <v>0</v>
      </c>
      <c r="G58" s="340">
        <v>0</v>
      </c>
      <c r="H58" s="340">
        <v>0</v>
      </c>
      <c r="I58" s="340">
        <v>0</v>
      </c>
    </row>
    <row r="59" spans="1:9" ht="12.75">
      <c r="A59" s="11">
        <v>2312</v>
      </c>
      <c r="B59" s="12" t="s">
        <v>163</v>
      </c>
      <c r="C59" s="339">
        <v>174</v>
      </c>
      <c r="D59" s="339">
        <v>0</v>
      </c>
      <c r="E59" s="345">
        <v>0</v>
      </c>
      <c r="F59" s="343">
        <v>0</v>
      </c>
      <c r="G59" s="339">
        <v>0</v>
      </c>
      <c r="H59" s="339">
        <v>0</v>
      </c>
      <c r="I59" s="339">
        <v>0</v>
      </c>
    </row>
    <row r="60" spans="1:9" ht="12.75">
      <c r="A60" s="13">
        <v>2355</v>
      </c>
      <c r="B60" s="14" t="s">
        <v>164</v>
      </c>
      <c r="C60" s="340">
        <v>2651</v>
      </c>
      <c r="D60" s="340">
        <v>0</v>
      </c>
      <c r="E60" s="346">
        <v>0</v>
      </c>
      <c r="F60" s="344">
        <v>217.5</v>
      </c>
      <c r="G60" s="340">
        <v>0</v>
      </c>
      <c r="H60" s="340">
        <v>202.5</v>
      </c>
      <c r="I60" s="340">
        <v>0</v>
      </c>
    </row>
    <row r="61" spans="1:9" ht="12.75">
      <c r="A61" s="11">
        <v>2439</v>
      </c>
      <c r="B61" s="12" t="s">
        <v>165</v>
      </c>
      <c r="C61" s="339">
        <v>150.5</v>
      </c>
      <c r="D61" s="339">
        <v>0</v>
      </c>
      <c r="E61" s="345">
        <v>0</v>
      </c>
      <c r="F61" s="343">
        <v>0</v>
      </c>
      <c r="G61" s="339">
        <v>0</v>
      </c>
      <c r="H61" s="339">
        <v>0</v>
      </c>
      <c r="I61" s="339">
        <v>0</v>
      </c>
    </row>
    <row r="62" spans="1:9" ht="12.75">
      <c r="A62" s="13">
        <v>2460</v>
      </c>
      <c r="B62" s="14" t="s">
        <v>166</v>
      </c>
      <c r="C62" s="340">
        <v>272.2</v>
      </c>
      <c r="D62" s="340">
        <v>0</v>
      </c>
      <c r="E62" s="346">
        <v>0</v>
      </c>
      <c r="F62" s="344">
        <v>0</v>
      </c>
      <c r="G62" s="340">
        <v>0</v>
      </c>
      <c r="H62" s="340">
        <v>0</v>
      </c>
      <c r="I62" s="340">
        <v>0</v>
      </c>
    </row>
    <row r="63" spans="1:9" ht="12.75">
      <c r="A63" s="11">
        <v>3000</v>
      </c>
      <c r="B63" s="12" t="s">
        <v>366</v>
      </c>
      <c r="C63" s="339">
        <v>35.9</v>
      </c>
      <c r="D63" s="339">
        <v>0</v>
      </c>
      <c r="E63" s="345">
        <v>0</v>
      </c>
      <c r="F63" s="343">
        <v>0</v>
      </c>
      <c r="G63" s="339">
        <v>0</v>
      </c>
      <c r="H63" s="339">
        <v>0</v>
      </c>
      <c r="I63" s="339">
        <v>0</v>
      </c>
    </row>
    <row r="64" spans="3:9" ht="4.5" customHeight="1">
      <c r="C64" s="341"/>
      <c r="D64" s="341"/>
      <c r="E64" s="341"/>
      <c r="F64" s="341"/>
      <c r="G64" s="341"/>
      <c r="H64" s="341"/>
      <c r="I64" s="341"/>
    </row>
    <row r="65" spans="1:9" ht="12.75">
      <c r="A65" s="17"/>
      <c r="B65" s="18" t="s">
        <v>167</v>
      </c>
      <c r="C65" s="342">
        <f>SUM(C11:C63)</f>
        <v>133077.65</v>
      </c>
      <c r="D65" s="342">
        <f aca="true" t="shared" si="0" ref="D65:I65">SUM(D11:D63)</f>
        <v>4795.7</v>
      </c>
      <c r="E65" s="348">
        <f t="shared" si="0"/>
        <v>8225.7</v>
      </c>
      <c r="F65" s="347">
        <f t="shared" si="0"/>
        <v>19078.04</v>
      </c>
      <c r="G65" s="342">
        <f t="shared" si="0"/>
        <v>269</v>
      </c>
      <c r="H65" s="342">
        <f t="shared" si="0"/>
        <v>7566.3</v>
      </c>
      <c r="I65" s="342">
        <f t="shared" si="0"/>
        <v>1384</v>
      </c>
    </row>
    <row r="66" spans="3:9" ht="4.5" customHeight="1">
      <c r="C66" s="341"/>
      <c r="D66" s="341"/>
      <c r="E66" s="341"/>
      <c r="F66" s="341"/>
      <c r="G66" s="341"/>
      <c r="H66" s="341"/>
      <c r="I66" s="341"/>
    </row>
    <row r="67" spans="1:9" ht="12.75">
      <c r="A67" s="13">
        <v>2155</v>
      </c>
      <c r="B67" s="14" t="s">
        <v>168</v>
      </c>
      <c r="C67" s="340">
        <v>146</v>
      </c>
      <c r="D67" s="340">
        <v>0</v>
      </c>
      <c r="E67" s="346">
        <v>0</v>
      </c>
      <c r="F67" s="344">
        <v>0</v>
      </c>
      <c r="G67" s="340">
        <v>0</v>
      </c>
      <c r="H67" s="340">
        <v>0</v>
      </c>
      <c r="I67" s="340">
        <v>0</v>
      </c>
    </row>
    <row r="68" spans="1:9" ht="12.75">
      <c r="A68" s="11">
        <v>2408</v>
      </c>
      <c r="B68" s="12" t="s">
        <v>170</v>
      </c>
      <c r="C68" s="339">
        <v>258</v>
      </c>
      <c r="D68" s="339">
        <v>0</v>
      </c>
      <c r="E68" s="345">
        <v>0</v>
      </c>
      <c r="F68" s="343">
        <v>0</v>
      </c>
      <c r="G68" s="339">
        <v>0</v>
      </c>
      <c r="H68" s="339">
        <v>0</v>
      </c>
      <c r="I68" s="339">
        <v>0</v>
      </c>
    </row>
    <row r="69" spans="3:10" ht="6.75" customHeight="1">
      <c r="C69" s="102"/>
      <c r="D69" s="102"/>
      <c r="E69" s="102"/>
      <c r="F69" s="102"/>
      <c r="G69" s="102"/>
      <c r="H69" s="102"/>
      <c r="I69" s="102"/>
      <c r="J69" s="102"/>
    </row>
    <row r="70" spans="1:10" ht="12" customHeight="1">
      <c r="A70" s="380" t="s">
        <v>354</v>
      </c>
      <c r="B70" s="53" t="s">
        <v>299</v>
      </c>
      <c r="D70" s="102"/>
      <c r="E70" s="102"/>
      <c r="F70" s="102"/>
      <c r="G70" s="102"/>
      <c r="H70" s="102"/>
      <c r="I70" s="102"/>
      <c r="J70" s="102"/>
    </row>
    <row r="71" spans="1:10" ht="12" customHeight="1">
      <c r="A71" s="380" t="s">
        <v>355</v>
      </c>
      <c r="B71" s="53" t="s">
        <v>300</v>
      </c>
      <c r="D71" s="102"/>
      <c r="E71" s="102"/>
      <c r="F71" s="102"/>
      <c r="G71" s="102"/>
      <c r="H71" s="102"/>
      <c r="I71" s="102"/>
      <c r="J71" s="102"/>
    </row>
    <row r="72" spans="1:2" ht="12" customHeight="1">
      <c r="A72" s="4"/>
      <c r="B72" s="4"/>
    </row>
    <row r="73" spans="1:2" ht="12" customHeight="1">
      <c r="A73" s="4"/>
      <c r="B73" s="4"/>
    </row>
    <row r="74" spans="1:2" ht="12" customHeight="1">
      <c r="A74" s="4"/>
      <c r="B74" s="4"/>
    </row>
    <row r="75" ht="12" customHeight="1"/>
  </sheetData>
  <printOptions horizontalCentered="1"/>
  <pageMargins left="0.5" right="0.5" top="0.6" bottom="0" header="0.3" footer="0"/>
  <pageSetup fitToHeight="1" fitToWidth="1" horizontalDpi="300" verticalDpi="300" orientation="portrait" scale="81"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pageSetUpPr fitToPage="1"/>
  </sheetPr>
  <dimension ref="A1:E74"/>
  <sheetViews>
    <sheetView showGridLines="0" workbookViewId="0" topLeftCell="A1">
      <selection activeCell="A1" sqref="A1"/>
    </sheetView>
  </sheetViews>
  <sheetFormatPr defaultColWidth="15.83203125" defaultRowHeight="12"/>
  <cols>
    <col min="1" max="1" width="6.83203125" style="79" customWidth="1"/>
    <col min="2" max="2" width="35.83203125" style="79" customWidth="1"/>
    <col min="3" max="3" width="34.83203125" style="79" customWidth="1"/>
    <col min="4" max="4" width="25.83203125" style="79" customWidth="1"/>
    <col min="5" max="5" width="34.83203125" style="79" customWidth="1"/>
    <col min="6" max="16384" width="15.83203125" style="79" customWidth="1"/>
  </cols>
  <sheetData>
    <row r="1" spans="1:2" ht="6.75" customHeight="1">
      <c r="A1" s="15"/>
      <c r="B1" s="77"/>
    </row>
    <row r="2" spans="1:5" ht="12.75">
      <c r="A2" s="9"/>
      <c r="B2" s="103"/>
      <c r="C2" s="104" t="s">
        <v>487</v>
      </c>
      <c r="D2" s="104"/>
      <c r="E2" s="282"/>
    </row>
    <row r="3" spans="1:5" ht="12.75">
      <c r="A3" s="10"/>
      <c r="B3" s="106"/>
      <c r="C3" s="167" t="str">
        <f>"FOR THE YEAR ENDED JUNE 30, 20"&amp;REPLACE(YEAR,1,29,"")</f>
        <v>FOR THE YEAR ENDED JUNE 30, 2002</v>
      </c>
      <c r="D3" s="137"/>
      <c r="E3" s="312"/>
    </row>
    <row r="4" ht="12.75">
      <c r="A4" s="8"/>
    </row>
    <row r="5" spans="1:3" ht="12.75">
      <c r="A5" s="8"/>
      <c r="C5" s="15"/>
    </row>
    <row r="6" ht="12.75">
      <c r="A6" s="8"/>
    </row>
    <row r="7" spans="1:4" ht="12.75">
      <c r="A7" s="15"/>
      <c r="C7" s="140"/>
      <c r="D7" s="140" t="str">
        <f>"% OF "&amp;REPLACE(YEAR,1,22,"")</f>
        <v>% OF 2001/2002</v>
      </c>
    </row>
    <row r="8" spans="1:4" ht="12.75">
      <c r="A8" s="91"/>
      <c r="B8" s="43"/>
      <c r="C8" s="142" t="s">
        <v>488</v>
      </c>
      <c r="D8" s="143" t="s">
        <v>193</v>
      </c>
    </row>
    <row r="9" spans="1:4" ht="16.5">
      <c r="A9" s="49" t="s">
        <v>101</v>
      </c>
      <c r="B9" s="50" t="s">
        <v>102</v>
      </c>
      <c r="C9" s="144" t="s">
        <v>494</v>
      </c>
      <c r="D9" s="144" t="s">
        <v>495</v>
      </c>
    </row>
    <row r="10" spans="1:5" ht="4.5" customHeight="1">
      <c r="A10" s="74"/>
      <c r="B10" s="74"/>
      <c r="C10" s="161"/>
      <c r="D10" s="161"/>
      <c r="E10" s="77"/>
    </row>
    <row r="11" spans="1:5" ht="12.75">
      <c r="A11" s="11">
        <v>1</v>
      </c>
      <c r="B11" s="12" t="s">
        <v>116</v>
      </c>
      <c r="C11" s="405">
        <v>13107114.060000002</v>
      </c>
      <c r="D11" s="351">
        <f>C11/'- 3 -'!C11</f>
        <v>0.053915683470805026</v>
      </c>
      <c r="E11" s="148"/>
    </row>
    <row r="12" spans="1:5" ht="12.75">
      <c r="A12" s="13">
        <v>2</v>
      </c>
      <c r="B12" s="14" t="s">
        <v>117</v>
      </c>
      <c r="C12" s="406">
        <v>13559</v>
      </c>
      <c r="D12" s="352">
        <f>C12/'- 3 -'!C12</f>
        <v>0.00022147078850281256</v>
      </c>
      <c r="E12" s="148"/>
    </row>
    <row r="13" spans="1:5" ht="12.75">
      <c r="A13" s="11">
        <v>3</v>
      </c>
      <c r="B13" s="12" t="s">
        <v>118</v>
      </c>
      <c r="C13" s="405">
        <v>-158464</v>
      </c>
      <c r="D13" s="351">
        <f>C13/'- 3 -'!C13</f>
        <v>-0.0034947631592452534</v>
      </c>
      <c r="E13" s="148"/>
    </row>
    <row r="14" spans="1:5" ht="12.75">
      <c r="A14" s="13">
        <v>4</v>
      </c>
      <c r="B14" s="14" t="s">
        <v>119</v>
      </c>
      <c r="C14" s="406">
        <v>904689.8699999899</v>
      </c>
      <c r="D14" s="352">
        <f>C14/'- 3 -'!C14</f>
        <v>0.021573033422680143</v>
      </c>
      <c r="E14" s="148"/>
    </row>
    <row r="15" spans="1:5" ht="12.75">
      <c r="A15" s="11">
        <v>5</v>
      </c>
      <c r="B15" s="12" t="s">
        <v>120</v>
      </c>
      <c r="C15" s="405">
        <v>1525211</v>
      </c>
      <c r="D15" s="351">
        <f>C15/'- 3 -'!C15</f>
        <v>0.02981602208262044</v>
      </c>
      <c r="E15" s="148"/>
    </row>
    <row r="16" spans="1:5" ht="12.75">
      <c r="A16" s="13">
        <v>6</v>
      </c>
      <c r="B16" s="14" t="s">
        <v>121</v>
      </c>
      <c r="C16" s="406">
        <v>1537916</v>
      </c>
      <c r="D16" s="352">
        <f>C16/'- 3 -'!C16</f>
        <v>0.026073105045462078</v>
      </c>
      <c r="E16" s="148"/>
    </row>
    <row r="17" spans="1:5" ht="12.75">
      <c r="A17" s="11">
        <v>9</v>
      </c>
      <c r="B17" s="12" t="s">
        <v>122</v>
      </c>
      <c r="C17" s="405">
        <v>2040418.6399999857</v>
      </c>
      <c r="D17" s="351">
        <f>C17/'- 3 -'!C17</f>
        <v>0.024841157140785382</v>
      </c>
      <c r="E17" s="148"/>
    </row>
    <row r="18" spans="1:5" ht="12.75">
      <c r="A18" s="13">
        <v>10</v>
      </c>
      <c r="B18" s="14" t="s">
        <v>123</v>
      </c>
      <c r="C18" s="406">
        <v>1774097.87</v>
      </c>
      <c r="D18" s="352">
        <f>C18/'- 3 -'!C18</f>
        <v>0.028328945563592528</v>
      </c>
      <c r="E18" s="148"/>
    </row>
    <row r="19" spans="1:5" ht="12.75">
      <c r="A19" s="11">
        <v>11</v>
      </c>
      <c r="B19" s="12" t="s">
        <v>124</v>
      </c>
      <c r="C19" s="405">
        <v>1366240</v>
      </c>
      <c r="D19" s="351">
        <f>C19/'- 3 -'!C19</f>
        <v>0.04206546015424228</v>
      </c>
      <c r="E19" s="148"/>
    </row>
    <row r="20" spans="1:5" ht="12.75">
      <c r="A20" s="13">
        <v>12</v>
      </c>
      <c r="B20" s="14" t="s">
        <v>125</v>
      </c>
      <c r="C20" s="406">
        <v>1520602</v>
      </c>
      <c r="D20" s="352">
        <f>C20/'- 3 -'!C20</f>
        <v>0.029143414350232082</v>
      </c>
      <c r="E20" s="148"/>
    </row>
    <row r="21" spans="1:5" ht="12.75">
      <c r="A21" s="11">
        <v>13</v>
      </c>
      <c r="B21" s="12" t="s">
        <v>126</v>
      </c>
      <c r="C21" s="405">
        <v>233067.52000000328</v>
      </c>
      <c r="D21" s="351">
        <f>C21/'- 3 -'!C21</f>
        <v>0.01153096500515024</v>
      </c>
      <c r="E21" s="148"/>
    </row>
    <row r="22" spans="1:5" ht="12.75">
      <c r="A22" s="13">
        <v>14</v>
      </c>
      <c r="B22" s="14" t="s">
        <v>127</v>
      </c>
      <c r="C22" s="406">
        <v>2419716.48</v>
      </c>
      <c r="D22" s="352">
        <f>C22/'- 3 -'!C22</f>
        <v>0.10294875698595596</v>
      </c>
      <c r="E22" s="148"/>
    </row>
    <row r="23" spans="1:5" ht="12.75">
      <c r="A23" s="11">
        <v>15</v>
      </c>
      <c r="B23" s="12" t="s">
        <v>128</v>
      </c>
      <c r="C23" s="405">
        <v>1523797</v>
      </c>
      <c r="D23" s="351">
        <f>C23/'- 3 -'!C23</f>
        <v>0.04739781649232636</v>
      </c>
      <c r="E23" s="148"/>
    </row>
    <row r="24" spans="1:5" ht="12.75">
      <c r="A24" s="13">
        <v>16</v>
      </c>
      <c r="B24" s="14" t="s">
        <v>129</v>
      </c>
      <c r="C24" s="406">
        <v>243593.99</v>
      </c>
      <c r="D24" s="352">
        <f>C24/'- 3 -'!C24</f>
        <v>0.03866129794639006</v>
      </c>
      <c r="E24" s="148"/>
    </row>
    <row r="25" spans="1:5" ht="12.75">
      <c r="A25" s="11">
        <v>17</v>
      </c>
      <c r="B25" s="12" t="s">
        <v>130</v>
      </c>
      <c r="C25" s="405">
        <v>452106.03</v>
      </c>
      <c r="D25" s="351">
        <f>C25/'- 3 -'!C25</f>
        <v>0.10118020060805336</v>
      </c>
      <c r="E25" s="148"/>
    </row>
    <row r="26" spans="1:5" ht="12.75">
      <c r="A26" s="13">
        <v>18</v>
      </c>
      <c r="B26" s="14" t="s">
        <v>131</v>
      </c>
      <c r="C26" s="406">
        <v>-131391.6099999994</v>
      </c>
      <c r="D26" s="352">
        <f>C26/'- 3 -'!C26</f>
        <v>-0.013509632115489015</v>
      </c>
      <c r="E26" s="148"/>
    </row>
    <row r="27" spans="1:5" ht="12.75">
      <c r="A27" s="11">
        <v>19</v>
      </c>
      <c r="B27" s="12" t="s">
        <v>132</v>
      </c>
      <c r="C27" s="405">
        <v>-1669884.06</v>
      </c>
      <c r="D27" s="351">
        <f>C27/'- 3 -'!C27</f>
        <v>-0.11123142020387371</v>
      </c>
      <c r="E27" s="148"/>
    </row>
    <row r="28" spans="1:5" ht="12.75">
      <c r="A28" s="13">
        <v>20</v>
      </c>
      <c r="B28" s="14" t="s">
        <v>133</v>
      </c>
      <c r="C28" s="406">
        <v>499917.21</v>
      </c>
      <c r="D28" s="352">
        <f>C28/'- 3 -'!C28</f>
        <v>0.06469875799226696</v>
      </c>
      <c r="E28" s="148"/>
    </row>
    <row r="29" spans="1:5" ht="12.75">
      <c r="A29" s="11">
        <v>21</v>
      </c>
      <c r="B29" s="12" t="s">
        <v>134</v>
      </c>
      <c r="C29" s="405">
        <v>1393902</v>
      </c>
      <c r="D29" s="351">
        <f>C29/'- 3 -'!C29</f>
        <v>0.061872465225584934</v>
      </c>
      <c r="E29" s="148"/>
    </row>
    <row r="30" spans="1:5" ht="12.75">
      <c r="A30" s="13">
        <v>22</v>
      </c>
      <c r="B30" s="14" t="s">
        <v>135</v>
      </c>
      <c r="C30" s="406">
        <v>740033</v>
      </c>
      <c r="D30" s="352">
        <f>C30/'- 3 -'!C30</f>
        <v>0.06247146700775692</v>
      </c>
      <c r="E30" s="148"/>
    </row>
    <row r="31" spans="1:5" ht="12.75">
      <c r="A31" s="11">
        <v>23</v>
      </c>
      <c r="B31" s="12" t="s">
        <v>136</v>
      </c>
      <c r="C31" s="405">
        <v>622854</v>
      </c>
      <c r="D31" s="351">
        <f>C31/'- 3 -'!C31</f>
        <v>0.06137916728462614</v>
      </c>
      <c r="E31" s="148"/>
    </row>
    <row r="32" spans="1:5" ht="12.75">
      <c r="A32" s="13">
        <v>24</v>
      </c>
      <c r="B32" s="14" t="s">
        <v>137</v>
      </c>
      <c r="C32" s="406">
        <v>1831322</v>
      </c>
      <c r="D32" s="352">
        <f>C32/'- 3 -'!C32</f>
        <v>0.0804059015721178</v>
      </c>
      <c r="E32" s="148"/>
    </row>
    <row r="33" spans="1:5" ht="12.75">
      <c r="A33" s="11">
        <v>25</v>
      </c>
      <c r="B33" s="12" t="s">
        <v>138</v>
      </c>
      <c r="C33" s="405">
        <v>664946</v>
      </c>
      <c r="D33" s="351">
        <f>C33/'- 3 -'!C33</f>
        <v>0.06305580142466477</v>
      </c>
      <c r="E33" s="148"/>
    </row>
    <row r="34" spans="1:5" ht="12.75">
      <c r="A34" s="13">
        <v>26</v>
      </c>
      <c r="B34" s="14" t="s">
        <v>139</v>
      </c>
      <c r="C34" s="406">
        <v>634952</v>
      </c>
      <c r="D34" s="352">
        <f>C34/'- 3 -'!C34</f>
        <v>0.03880591706016906</v>
      </c>
      <c r="E34" s="148"/>
    </row>
    <row r="35" spans="1:5" ht="12.75">
      <c r="A35" s="11">
        <v>28</v>
      </c>
      <c r="B35" s="12" t="s">
        <v>140</v>
      </c>
      <c r="C35" s="405">
        <v>836565.46</v>
      </c>
      <c r="D35" s="351">
        <f>C35/'- 3 -'!C35</f>
        <v>0.12964734806295053</v>
      </c>
      <c r="E35" s="148"/>
    </row>
    <row r="36" spans="1:5" ht="12.75">
      <c r="A36" s="13">
        <v>30</v>
      </c>
      <c r="B36" s="14" t="s">
        <v>141</v>
      </c>
      <c r="C36" s="406">
        <v>852086</v>
      </c>
      <c r="D36" s="352">
        <f>C36/'- 3 -'!C36</f>
        <v>0.09192497909511149</v>
      </c>
      <c r="E36" s="148"/>
    </row>
    <row r="37" spans="1:5" ht="12.75">
      <c r="A37" s="11">
        <v>31</v>
      </c>
      <c r="B37" s="12" t="s">
        <v>142</v>
      </c>
      <c r="C37" s="405">
        <v>799786</v>
      </c>
      <c r="D37" s="351">
        <f>C37/'- 3 -'!C37</f>
        <v>0.07411931955086502</v>
      </c>
      <c r="E37" s="148"/>
    </row>
    <row r="38" spans="1:5" ht="12.75">
      <c r="A38" s="13">
        <v>32</v>
      </c>
      <c r="B38" s="14" t="s">
        <v>143</v>
      </c>
      <c r="C38" s="406">
        <v>514409.35</v>
      </c>
      <c r="D38" s="352">
        <f>C38/'- 3 -'!C38</f>
        <v>0.07990169406033407</v>
      </c>
      <c r="E38" s="148"/>
    </row>
    <row r="39" spans="1:5" ht="12.75">
      <c r="A39" s="11">
        <v>33</v>
      </c>
      <c r="B39" s="12" t="s">
        <v>144</v>
      </c>
      <c r="C39" s="405">
        <v>319458</v>
      </c>
      <c r="D39" s="351">
        <f>C39/'- 3 -'!C39</f>
        <v>0.024570923353637454</v>
      </c>
      <c r="E39" s="148"/>
    </row>
    <row r="40" spans="1:5" ht="12.75">
      <c r="A40" s="13">
        <v>34</v>
      </c>
      <c r="B40" s="14" t="s">
        <v>145</v>
      </c>
      <c r="C40" s="406">
        <v>532240.7349999992</v>
      </c>
      <c r="D40" s="352">
        <f>C40/'- 3 -'!C40</f>
        <v>0.09194598412380904</v>
      </c>
      <c r="E40" s="148"/>
    </row>
    <row r="41" spans="1:5" ht="12.75">
      <c r="A41" s="11">
        <v>35</v>
      </c>
      <c r="B41" s="12" t="s">
        <v>146</v>
      </c>
      <c r="C41" s="405">
        <v>1657249.72</v>
      </c>
      <c r="D41" s="351">
        <f>C41/'- 3 -'!C41</f>
        <v>0.11789448058127759</v>
      </c>
      <c r="E41" s="148"/>
    </row>
    <row r="42" spans="1:5" ht="12.75">
      <c r="A42" s="13">
        <v>36</v>
      </c>
      <c r="B42" s="14" t="s">
        <v>147</v>
      </c>
      <c r="C42" s="406">
        <v>440801.77</v>
      </c>
      <c r="D42" s="352">
        <f>C42/'- 3 -'!C42</f>
        <v>0.0544641167214909</v>
      </c>
      <c r="E42" s="148"/>
    </row>
    <row r="43" spans="1:5" ht="12.75">
      <c r="A43" s="11">
        <v>37</v>
      </c>
      <c r="B43" s="12" t="s">
        <v>148</v>
      </c>
      <c r="C43" s="405">
        <v>1322330.79</v>
      </c>
      <c r="D43" s="351">
        <f>C43/'- 3 -'!C43</f>
        <v>0.19146665069599092</v>
      </c>
      <c r="E43" s="148"/>
    </row>
    <row r="44" spans="1:5" ht="12.75">
      <c r="A44" s="13">
        <v>38</v>
      </c>
      <c r="B44" s="14" t="s">
        <v>149</v>
      </c>
      <c r="C44" s="406">
        <v>493392.69999999925</v>
      </c>
      <c r="D44" s="352">
        <f>C44/'- 3 -'!C44</f>
        <v>0.05497877257572778</v>
      </c>
      <c r="E44" s="148"/>
    </row>
    <row r="45" spans="1:5" ht="12.75">
      <c r="A45" s="11">
        <v>39</v>
      </c>
      <c r="B45" s="12" t="s">
        <v>150</v>
      </c>
      <c r="C45" s="405">
        <v>742212</v>
      </c>
      <c r="D45" s="351">
        <f>C45/'- 3 -'!C45</f>
        <v>0.049345235479408604</v>
      </c>
      <c r="E45" s="148"/>
    </row>
    <row r="46" spans="1:5" ht="12.75">
      <c r="A46" s="13">
        <v>40</v>
      </c>
      <c r="B46" s="14" t="s">
        <v>151</v>
      </c>
      <c r="C46" s="406">
        <v>2049198.52</v>
      </c>
      <c r="D46" s="352">
        <f>C46/'- 3 -'!C46</f>
        <v>0.045659221755694604</v>
      </c>
      <c r="E46" s="148"/>
    </row>
    <row r="47" spans="1:5" ht="12.75">
      <c r="A47" s="11">
        <v>41</v>
      </c>
      <c r="B47" s="12" t="s">
        <v>152</v>
      </c>
      <c r="C47" s="405">
        <v>763267.0300000012</v>
      </c>
      <c r="D47" s="351">
        <f>C47/'- 3 -'!C47</f>
        <v>0.06203872040120061</v>
      </c>
      <c r="E47" s="148"/>
    </row>
    <row r="48" spans="1:5" ht="12.75">
      <c r="A48" s="13">
        <v>42</v>
      </c>
      <c r="B48" s="14" t="s">
        <v>153</v>
      </c>
      <c r="C48" s="406">
        <v>816260</v>
      </c>
      <c r="D48" s="352">
        <f>C48/'- 3 -'!C48</f>
        <v>0.10467181284485974</v>
      </c>
      <c r="E48" s="148"/>
    </row>
    <row r="49" spans="1:5" ht="12.75">
      <c r="A49" s="11">
        <v>43</v>
      </c>
      <c r="B49" s="12" t="s">
        <v>154</v>
      </c>
      <c r="C49" s="405">
        <v>627824</v>
      </c>
      <c r="D49" s="351">
        <f>C49/'- 3 -'!C49</f>
        <v>0.09825117097209855</v>
      </c>
      <c r="E49" s="148"/>
    </row>
    <row r="50" spans="1:5" ht="12.75">
      <c r="A50" s="13">
        <v>44</v>
      </c>
      <c r="B50" s="14" t="s">
        <v>155</v>
      </c>
      <c r="C50" s="406">
        <v>519130</v>
      </c>
      <c r="D50" s="352">
        <f>C50/'- 3 -'!C50</f>
        <v>0.055934608883337775</v>
      </c>
      <c r="E50" s="148"/>
    </row>
    <row r="51" spans="1:5" ht="12.75">
      <c r="A51" s="11">
        <v>45</v>
      </c>
      <c r="B51" s="12" t="s">
        <v>156</v>
      </c>
      <c r="C51" s="405">
        <v>535746.7100000009</v>
      </c>
      <c r="D51" s="351">
        <f>C51/'- 3 -'!C51</f>
        <v>0.04439450822266756</v>
      </c>
      <c r="E51" s="148"/>
    </row>
    <row r="52" spans="1:5" ht="12.75">
      <c r="A52" s="13">
        <v>46</v>
      </c>
      <c r="B52" s="14" t="s">
        <v>157</v>
      </c>
      <c r="C52" s="406">
        <v>46248.279999999446</v>
      </c>
      <c r="D52" s="352">
        <f>C52/'- 3 -'!C52</f>
        <v>0.004227768821603259</v>
      </c>
      <c r="E52" s="148"/>
    </row>
    <row r="53" spans="1:5" ht="12.75">
      <c r="A53" s="11">
        <v>47</v>
      </c>
      <c r="B53" s="12" t="s">
        <v>158</v>
      </c>
      <c r="C53" s="405">
        <v>495191.7199999988</v>
      </c>
      <c r="D53" s="351">
        <f>C53/'- 3 -'!C53</f>
        <v>0.05355701186244906</v>
      </c>
      <c r="E53" s="148"/>
    </row>
    <row r="54" spans="1:5" ht="12.75">
      <c r="A54" s="13">
        <v>48</v>
      </c>
      <c r="B54" s="14" t="s">
        <v>159</v>
      </c>
      <c r="C54" s="406">
        <v>2709890</v>
      </c>
      <c r="D54" s="352">
        <f>C54/'- 3 -'!C54</f>
        <v>0.044278185544860044</v>
      </c>
      <c r="E54" s="148"/>
    </row>
    <row r="55" spans="1:5" ht="12.75">
      <c r="A55" s="11">
        <v>49</v>
      </c>
      <c r="B55" s="12" t="s">
        <v>160</v>
      </c>
      <c r="C55" s="405">
        <v>3109079</v>
      </c>
      <c r="D55" s="351">
        <f>C55/'- 3 -'!C55</f>
        <v>0.08552705056415609</v>
      </c>
      <c r="E55" s="148"/>
    </row>
    <row r="56" spans="1:5" ht="12.75">
      <c r="A56" s="13">
        <v>50</v>
      </c>
      <c r="B56" s="14" t="s">
        <v>343</v>
      </c>
      <c r="C56" s="406">
        <v>1822823</v>
      </c>
      <c r="D56" s="352">
        <f>C56/'- 3 -'!C56</f>
        <v>0.12562505914013805</v>
      </c>
      <c r="E56" s="148"/>
    </row>
    <row r="57" spans="1:5" ht="12.75">
      <c r="A57" s="11">
        <v>2264</v>
      </c>
      <c r="B57" s="12" t="s">
        <v>161</v>
      </c>
      <c r="C57" s="405">
        <v>60972.50999999978</v>
      </c>
      <c r="D57" s="351">
        <f>C57/'- 3 -'!C57</f>
        <v>0.0289395449883633</v>
      </c>
      <c r="E57" s="148"/>
    </row>
    <row r="58" spans="1:5" ht="12.75">
      <c r="A58" s="13">
        <v>2309</v>
      </c>
      <c r="B58" s="14" t="s">
        <v>162</v>
      </c>
      <c r="C58" s="406">
        <v>148205</v>
      </c>
      <c r="D58" s="352">
        <f>C58/'- 3 -'!C58</f>
        <v>0.06368798580862965</v>
      </c>
      <c r="E58" s="148"/>
    </row>
    <row r="59" spans="1:5" ht="12.75">
      <c r="A59" s="11">
        <v>2312</v>
      </c>
      <c r="B59" s="12" t="s">
        <v>163</v>
      </c>
      <c r="C59" s="405">
        <v>-321</v>
      </c>
      <c r="D59" s="351">
        <f>C59/'- 3 -'!C59</f>
        <v>-0.00015933739469957455</v>
      </c>
      <c r="E59" s="148"/>
    </row>
    <row r="60" spans="1:5" ht="12.75">
      <c r="A60" s="13">
        <v>2355</v>
      </c>
      <c r="B60" s="14" t="s">
        <v>164</v>
      </c>
      <c r="C60" s="406">
        <v>-44380.82999999821</v>
      </c>
      <c r="D60" s="352">
        <f>C60/'- 3 -'!C60</f>
        <v>-0.0017839807117939796</v>
      </c>
      <c r="E60" s="148"/>
    </row>
    <row r="61" spans="1:5" ht="12.75">
      <c r="A61" s="11">
        <v>2439</v>
      </c>
      <c r="B61" s="12" t="s">
        <v>165</v>
      </c>
      <c r="C61" s="405">
        <v>315160.9570000003</v>
      </c>
      <c r="D61" s="351">
        <f>C61/'- 3 -'!C61</f>
        <v>0.2255528237047313</v>
      </c>
      <c r="E61" s="148"/>
    </row>
    <row r="62" spans="1:5" ht="12.75">
      <c r="A62" s="13">
        <v>2460</v>
      </c>
      <c r="B62" s="14" t="s">
        <v>166</v>
      </c>
      <c r="C62" s="406">
        <v>188171</v>
      </c>
      <c r="D62" s="352">
        <f>C62/'- 3 -'!C62</f>
        <v>0.05664871510727735</v>
      </c>
      <c r="E62" s="148"/>
    </row>
    <row r="63" spans="1:4" ht="12.75">
      <c r="A63" s="11">
        <v>3000</v>
      </c>
      <c r="B63" s="12" t="s">
        <v>489</v>
      </c>
      <c r="C63" s="415" t="s">
        <v>347</v>
      </c>
      <c r="D63" s="417" t="s">
        <v>347</v>
      </c>
    </row>
    <row r="64" spans="1:4" ht="4.5" customHeight="1">
      <c r="A64" s="15"/>
      <c r="B64" s="15"/>
      <c r="C64" s="412"/>
      <c r="D64" s="194"/>
    </row>
    <row r="65" spans="1:4" ht="12.75">
      <c r="A65" s="17"/>
      <c r="B65" s="18" t="s">
        <v>167</v>
      </c>
      <c r="C65" s="407">
        <f>SUM(C11:C63)</f>
        <v>55763314.422</v>
      </c>
      <c r="D65" s="100">
        <f>C65/('- 3 -'!C65-'- 3 -'!C63)</f>
        <v>0.04255778699980986</v>
      </c>
    </row>
    <row r="66" spans="1:4" ht="4.5" customHeight="1">
      <c r="A66" s="15"/>
      <c r="B66" s="15"/>
      <c r="C66" s="412"/>
      <c r="D66" s="194"/>
    </row>
    <row r="67" spans="1:4" ht="12.75">
      <c r="A67" s="13">
        <v>2155</v>
      </c>
      <c r="B67" s="14" t="s">
        <v>168</v>
      </c>
      <c r="C67" s="406">
        <v>110253.6</v>
      </c>
      <c r="D67" s="352">
        <f>C67/'- 3 -'!C67</f>
        <v>0.08573818364024696</v>
      </c>
    </row>
    <row r="68" spans="1:4" ht="12.75">
      <c r="A68" s="11">
        <v>2408</v>
      </c>
      <c r="B68" s="12" t="s">
        <v>170</v>
      </c>
      <c r="C68" s="405">
        <v>433866</v>
      </c>
      <c r="D68" s="351">
        <f>C68/'- 3 -'!C68</f>
        <v>0.2015107757960044</v>
      </c>
    </row>
    <row r="69" ht="6.75" customHeight="1"/>
    <row r="70" spans="1:5" ht="12" customHeight="1">
      <c r="A70" s="380" t="s">
        <v>354</v>
      </c>
      <c r="B70" s="267" t="s">
        <v>490</v>
      </c>
      <c r="C70" s="121"/>
      <c r="D70" s="120"/>
      <c r="E70" s="120"/>
    </row>
    <row r="71" spans="2:5" ht="12" customHeight="1">
      <c r="B71" s="267" t="s">
        <v>491</v>
      </c>
      <c r="C71" s="121"/>
      <c r="D71" s="120"/>
      <c r="E71" s="120"/>
    </row>
    <row r="72" spans="1:5" ht="12" customHeight="1">
      <c r="A72" s="380" t="s">
        <v>355</v>
      </c>
      <c r="B72" s="267" t="s">
        <v>492</v>
      </c>
      <c r="C72" s="121"/>
      <c r="D72" s="120"/>
      <c r="E72" s="120"/>
    </row>
    <row r="73" spans="1:5" ht="12" customHeight="1">
      <c r="A73" s="4"/>
      <c r="B73" s="267" t="s">
        <v>493</v>
      </c>
      <c r="C73" s="121"/>
      <c r="D73" s="179"/>
      <c r="E73" s="179"/>
    </row>
    <row r="74" spans="1:5" ht="12" customHeight="1">
      <c r="A74" s="4"/>
      <c r="B74" s="4"/>
      <c r="C74" s="121"/>
      <c r="D74" s="179"/>
      <c r="E74" s="179"/>
    </row>
  </sheetData>
  <printOptions horizontalCentered="1"/>
  <pageMargins left="0.4724409448818898" right="0.4724409448818898" top="0.5905511811023623" bottom="0" header="0.31496062992125984" footer="0"/>
  <pageSetup fitToHeight="1" fitToWidth="1" horizontalDpi="300" verticalDpi="300" orientation="portrait" scale="83"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39">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16.83203125" style="79" customWidth="1"/>
    <col min="4" max="7" width="15.83203125" style="79" customWidth="1"/>
    <col min="8" max="8" width="17.83203125" style="79" customWidth="1"/>
    <col min="9" max="16384" width="15.83203125" style="79" customWidth="1"/>
  </cols>
  <sheetData>
    <row r="1" spans="1:2" ht="6.75" customHeight="1">
      <c r="A1" s="15"/>
      <c r="B1" s="77"/>
    </row>
    <row r="2" spans="1:8" ht="12.75">
      <c r="A2" s="9"/>
      <c r="B2" s="103"/>
      <c r="C2" s="104" t="s">
        <v>171</v>
      </c>
      <c r="D2" s="104"/>
      <c r="E2" s="104"/>
      <c r="F2" s="104"/>
      <c r="G2" s="282"/>
      <c r="H2" s="105" t="s">
        <v>2</v>
      </c>
    </row>
    <row r="3" spans="1:8" ht="12.75">
      <c r="A3" s="10"/>
      <c r="B3" s="106"/>
      <c r="C3" s="376" t="str">
        <f>"CAPITAL FUND "&amp;REPLACE(YEAR,1,22,"")&amp;" ACTUAL"</f>
        <v>CAPITAL FUND 2001/2002 ACTUAL</v>
      </c>
      <c r="D3" s="167"/>
      <c r="E3" s="137"/>
      <c r="F3" s="137"/>
      <c r="G3" s="312"/>
      <c r="H3" s="172"/>
    </row>
    <row r="4" spans="1:8" ht="12.75">
      <c r="A4" s="8"/>
      <c r="C4" s="139"/>
      <c r="D4" s="177"/>
      <c r="E4" s="178"/>
      <c r="F4" s="139"/>
      <c r="G4" s="139"/>
      <c r="H4" s="139"/>
    </row>
    <row r="5" spans="1:8" ht="12.75">
      <c r="A5" s="8"/>
      <c r="C5" s="54"/>
      <c r="D5" s="139"/>
      <c r="E5" s="139"/>
      <c r="F5" s="139"/>
      <c r="G5" s="139"/>
      <c r="H5" s="139"/>
    </row>
    <row r="6" spans="1:8" ht="12.75">
      <c r="A6" s="8"/>
      <c r="C6" s="224" t="s">
        <v>180</v>
      </c>
      <c r="D6" s="124"/>
      <c r="E6" s="124"/>
      <c r="F6" s="124"/>
      <c r="G6" s="124"/>
      <c r="H6" s="125"/>
    </row>
    <row r="7" spans="1:8" ht="12.75">
      <c r="A7" s="15"/>
      <c r="C7" s="140"/>
      <c r="D7" s="140"/>
      <c r="E7" s="140"/>
      <c r="F7" s="156"/>
      <c r="G7" s="140" t="s">
        <v>195</v>
      </c>
      <c r="H7" s="156"/>
    </row>
    <row r="8" spans="1:8" ht="12.75">
      <c r="A8" s="91"/>
      <c r="B8" s="43"/>
      <c r="C8" s="142" t="s">
        <v>211</v>
      </c>
      <c r="D8" s="142" t="s">
        <v>221</v>
      </c>
      <c r="E8" s="142" t="s">
        <v>222</v>
      </c>
      <c r="F8" s="173"/>
      <c r="G8" s="142" t="s">
        <v>223</v>
      </c>
      <c r="H8" s="173"/>
    </row>
    <row r="9" spans="1:8" ht="12.75">
      <c r="A9" s="49" t="s">
        <v>101</v>
      </c>
      <c r="B9" s="50" t="s">
        <v>102</v>
      </c>
      <c r="C9" s="144" t="s">
        <v>213</v>
      </c>
      <c r="D9" s="144" t="s">
        <v>115</v>
      </c>
      <c r="E9" s="144" t="s">
        <v>224</v>
      </c>
      <c r="F9" s="144" t="s">
        <v>58</v>
      </c>
      <c r="G9" s="144" t="s">
        <v>226</v>
      </c>
      <c r="H9" s="144" t="s">
        <v>70</v>
      </c>
    </row>
    <row r="10" spans="1:8" ht="4.5" customHeight="1">
      <c r="A10" s="74"/>
      <c r="B10" s="74"/>
      <c r="C10" s="145"/>
      <c r="D10" s="145"/>
      <c r="E10" s="145"/>
      <c r="F10" s="145"/>
      <c r="G10" s="145"/>
      <c r="H10" s="145"/>
    </row>
    <row r="11" spans="1:8" ht="12.75">
      <c r="A11" s="11">
        <v>1</v>
      </c>
      <c r="B11" s="12" t="s">
        <v>116</v>
      </c>
      <c r="C11" s="405">
        <v>11205984</v>
      </c>
      <c r="D11" s="405">
        <v>652638</v>
      </c>
      <c r="E11" s="405">
        <v>4868000</v>
      </c>
      <c r="F11" s="405">
        <v>918232</v>
      </c>
      <c r="G11" s="405">
        <v>4920300</v>
      </c>
      <c r="H11" s="405">
        <f>SUM(C11:G11)</f>
        <v>22565154</v>
      </c>
    </row>
    <row r="12" spans="1:8" ht="12.75">
      <c r="A12" s="13">
        <v>2</v>
      </c>
      <c r="B12" s="14" t="s">
        <v>117</v>
      </c>
      <c r="C12" s="406">
        <v>109766</v>
      </c>
      <c r="D12" s="406">
        <v>108931</v>
      </c>
      <c r="E12" s="406">
        <v>1969000</v>
      </c>
      <c r="F12" s="406">
        <v>534711</v>
      </c>
      <c r="G12" s="406">
        <v>1541272</v>
      </c>
      <c r="H12" s="406">
        <f aca="true" t="shared" si="0" ref="H12:H63">SUM(C12:G12)</f>
        <v>4263680</v>
      </c>
    </row>
    <row r="13" spans="1:8" ht="12.75">
      <c r="A13" s="11">
        <v>3</v>
      </c>
      <c r="B13" s="12" t="s">
        <v>118</v>
      </c>
      <c r="C13" s="405">
        <v>1572507</v>
      </c>
      <c r="D13" s="405">
        <v>200838</v>
      </c>
      <c r="E13" s="405">
        <v>374000</v>
      </c>
      <c r="F13" s="405">
        <v>0</v>
      </c>
      <c r="G13" s="405">
        <v>116802</v>
      </c>
      <c r="H13" s="405">
        <f t="shared" si="0"/>
        <v>2264147</v>
      </c>
    </row>
    <row r="14" spans="1:8" ht="12.75">
      <c r="A14" s="13">
        <v>4</v>
      </c>
      <c r="B14" s="14" t="s">
        <v>119</v>
      </c>
      <c r="C14" s="406">
        <v>927548</v>
      </c>
      <c r="D14" s="406">
        <v>209394</v>
      </c>
      <c r="E14" s="406">
        <v>1276345</v>
      </c>
      <c r="F14" s="406">
        <v>1733</v>
      </c>
      <c r="G14" s="406">
        <v>3945493</v>
      </c>
      <c r="H14" s="406">
        <f t="shared" si="0"/>
        <v>6360513</v>
      </c>
    </row>
    <row r="15" spans="1:8" ht="12.75">
      <c r="A15" s="11">
        <v>5</v>
      </c>
      <c r="B15" s="12" t="s">
        <v>120</v>
      </c>
      <c r="C15" s="405">
        <v>2155589</v>
      </c>
      <c r="D15" s="405">
        <v>329391</v>
      </c>
      <c r="E15" s="405">
        <v>674000</v>
      </c>
      <c r="F15" s="405">
        <v>2452</v>
      </c>
      <c r="G15" s="405">
        <v>501569</v>
      </c>
      <c r="H15" s="405">
        <f t="shared" si="0"/>
        <v>3663001</v>
      </c>
    </row>
    <row r="16" spans="1:8" ht="12.75">
      <c r="A16" s="13">
        <v>6</v>
      </c>
      <c r="B16" s="14" t="s">
        <v>121</v>
      </c>
      <c r="C16" s="406">
        <v>3527073</v>
      </c>
      <c r="D16" s="406">
        <v>244049</v>
      </c>
      <c r="E16" s="406">
        <v>138000</v>
      </c>
      <c r="F16" s="406">
        <v>193358</v>
      </c>
      <c r="G16" s="406">
        <v>483952</v>
      </c>
      <c r="H16" s="406">
        <f t="shared" si="0"/>
        <v>4586432</v>
      </c>
    </row>
    <row r="17" spans="1:8" ht="12.75">
      <c r="A17" s="11">
        <v>9</v>
      </c>
      <c r="B17" s="12" t="s">
        <v>122</v>
      </c>
      <c r="C17" s="405">
        <v>2731371</v>
      </c>
      <c r="D17" s="405">
        <v>872080</v>
      </c>
      <c r="E17" s="405">
        <v>3422000</v>
      </c>
      <c r="F17" s="405">
        <v>3821</v>
      </c>
      <c r="G17" s="405">
        <v>241947</v>
      </c>
      <c r="H17" s="405">
        <f t="shared" si="0"/>
        <v>7271219</v>
      </c>
    </row>
    <row r="18" spans="1:8" ht="12.75">
      <c r="A18" s="13">
        <v>10</v>
      </c>
      <c r="B18" s="14" t="s">
        <v>123</v>
      </c>
      <c r="C18" s="406">
        <v>2762894</v>
      </c>
      <c r="D18" s="406">
        <v>1408061</v>
      </c>
      <c r="E18" s="406">
        <v>1653000</v>
      </c>
      <c r="F18" s="406">
        <v>19607</v>
      </c>
      <c r="G18" s="406">
        <v>2127939.68</v>
      </c>
      <c r="H18" s="406">
        <f t="shared" si="0"/>
        <v>7971501.68</v>
      </c>
    </row>
    <row r="19" spans="1:8" ht="12.75">
      <c r="A19" s="11">
        <v>11</v>
      </c>
      <c r="B19" s="12" t="s">
        <v>124</v>
      </c>
      <c r="C19" s="405">
        <v>1218228</v>
      </c>
      <c r="D19" s="405">
        <v>525931</v>
      </c>
      <c r="E19" s="405">
        <v>704000</v>
      </c>
      <c r="F19" s="405">
        <v>17502</v>
      </c>
      <c r="G19" s="405">
        <v>551701</v>
      </c>
      <c r="H19" s="405">
        <f t="shared" si="0"/>
        <v>3017362</v>
      </c>
    </row>
    <row r="20" spans="1:8" ht="12.75">
      <c r="A20" s="13">
        <v>12</v>
      </c>
      <c r="B20" s="14" t="s">
        <v>125</v>
      </c>
      <c r="C20" s="406">
        <v>2349254</v>
      </c>
      <c r="D20" s="406">
        <v>888896</v>
      </c>
      <c r="E20" s="406">
        <v>1541810</v>
      </c>
      <c r="F20" s="406">
        <v>543082</v>
      </c>
      <c r="G20" s="406">
        <v>3418860</v>
      </c>
      <c r="H20" s="406">
        <f t="shared" si="0"/>
        <v>8741902</v>
      </c>
    </row>
    <row r="21" spans="1:8" ht="12.75">
      <c r="A21" s="11">
        <v>13</v>
      </c>
      <c r="B21" s="12" t="s">
        <v>126</v>
      </c>
      <c r="C21" s="405">
        <v>906831</v>
      </c>
      <c r="D21" s="405">
        <v>531556</v>
      </c>
      <c r="E21" s="405">
        <v>3315000</v>
      </c>
      <c r="F21" s="405">
        <v>86874</v>
      </c>
      <c r="G21" s="405">
        <v>1386447</v>
      </c>
      <c r="H21" s="405">
        <f t="shared" si="0"/>
        <v>6226708</v>
      </c>
    </row>
    <row r="22" spans="1:8" ht="12.75">
      <c r="A22" s="13">
        <v>14</v>
      </c>
      <c r="B22" s="14" t="s">
        <v>127</v>
      </c>
      <c r="C22" s="406">
        <v>1989588</v>
      </c>
      <c r="D22" s="406">
        <v>740761</v>
      </c>
      <c r="E22" s="406">
        <v>916000</v>
      </c>
      <c r="F22" s="406">
        <v>62399</v>
      </c>
      <c r="G22" s="406">
        <v>371028</v>
      </c>
      <c r="H22" s="406">
        <f t="shared" si="0"/>
        <v>4079776</v>
      </c>
    </row>
    <row r="23" spans="1:8" ht="12.75">
      <c r="A23" s="11">
        <v>15</v>
      </c>
      <c r="B23" s="12" t="s">
        <v>128</v>
      </c>
      <c r="C23" s="405">
        <v>2647581</v>
      </c>
      <c r="D23" s="405">
        <v>409971</v>
      </c>
      <c r="E23" s="405">
        <v>3925000</v>
      </c>
      <c r="F23" s="405">
        <v>9600</v>
      </c>
      <c r="G23" s="405">
        <v>653126</v>
      </c>
      <c r="H23" s="405">
        <f t="shared" si="0"/>
        <v>7645278</v>
      </c>
    </row>
    <row r="24" spans="1:8" ht="12.75">
      <c r="A24" s="13">
        <v>16</v>
      </c>
      <c r="B24" s="14" t="s">
        <v>129</v>
      </c>
      <c r="C24" s="406">
        <v>128613</v>
      </c>
      <c r="D24" s="406">
        <v>105000</v>
      </c>
      <c r="E24" s="406">
        <v>215000</v>
      </c>
      <c r="F24" s="406">
        <v>2072</v>
      </c>
      <c r="G24" s="406">
        <v>178389</v>
      </c>
      <c r="H24" s="406">
        <f t="shared" si="0"/>
        <v>629074</v>
      </c>
    </row>
    <row r="25" spans="1:8" ht="12.75">
      <c r="A25" s="11">
        <v>17</v>
      </c>
      <c r="B25" s="12" t="s">
        <v>130</v>
      </c>
      <c r="C25" s="405">
        <v>263261</v>
      </c>
      <c r="D25" s="405">
        <v>118469</v>
      </c>
      <c r="E25" s="405">
        <v>0</v>
      </c>
      <c r="F25" s="405">
        <v>0</v>
      </c>
      <c r="G25" s="405">
        <v>255850</v>
      </c>
      <c r="H25" s="405">
        <f t="shared" si="0"/>
        <v>637580</v>
      </c>
    </row>
    <row r="26" spans="1:8" ht="12.75">
      <c r="A26" s="13">
        <v>18</v>
      </c>
      <c r="B26" s="14" t="s">
        <v>131</v>
      </c>
      <c r="C26" s="406">
        <v>348601</v>
      </c>
      <c r="D26" s="406">
        <v>117934</v>
      </c>
      <c r="E26" s="406">
        <v>1074000</v>
      </c>
      <c r="F26" s="406">
        <v>1700</v>
      </c>
      <c r="G26" s="406">
        <v>833554</v>
      </c>
      <c r="H26" s="406">
        <f t="shared" si="0"/>
        <v>2375789</v>
      </c>
    </row>
    <row r="27" spans="1:8" ht="12.75">
      <c r="A27" s="11">
        <v>19</v>
      </c>
      <c r="B27" s="12" t="s">
        <v>132</v>
      </c>
      <c r="C27" s="405">
        <v>821384</v>
      </c>
      <c r="D27" s="405">
        <v>332272</v>
      </c>
      <c r="E27" s="405">
        <v>3086896</v>
      </c>
      <c r="F27" s="405">
        <v>73825</v>
      </c>
      <c r="G27" s="405">
        <v>3815100</v>
      </c>
      <c r="H27" s="405">
        <f t="shared" si="0"/>
        <v>8129477</v>
      </c>
    </row>
    <row r="28" spans="1:8" ht="12.75">
      <c r="A28" s="13">
        <v>20</v>
      </c>
      <c r="B28" s="14" t="s">
        <v>133</v>
      </c>
      <c r="C28" s="406">
        <v>491213</v>
      </c>
      <c r="D28" s="406">
        <v>90000</v>
      </c>
      <c r="E28" s="406">
        <v>0</v>
      </c>
      <c r="F28" s="406">
        <v>0</v>
      </c>
      <c r="G28" s="406">
        <v>4768</v>
      </c>
      <c r="H28" s="406">
        <f t="shared" si="0"/>
        <v>585981</v>
      </c>
    </row>
    <row r="29" spans="1:8" ht="12.75">
      <c r="A29" s="11">
        <v>21</v>
      </c>
      <c r="B29" s="12" t="s">
        <v>134</v>
      </c>
      <c r="C29" s="405">
        <v>801845</v>
      </c>
      <c r="D29" s="405">
        <v>410551</v>
      </c>
      <c r="E29" s="405">
        <v>410000</v>
      </c>
      <c r="F29" s="405">
        <v>14240</v>
      </c>
      <c r="G29" s="405">
        <v>132648</v>
      </c>
      <c r="H29" s="405">
        <f t="shared" si="0"/>
        <v>1769284</v>
      </c>
    </row>
    <row r="30" spans="1:8" ht="12.75">
      <c r="A30" s="13">
        <v>22</v>
      </c>
      <c r="B30" s="14" t="s">
        <v>135</v>
      </c>
      <c r="C30" s="406">
        <v>449728</v>
      </c>
      <c r="D30" s="406">
        <v>305984</v>
      </c>
      <c r="E30" s="406">
        <v>2411000</v>
      </c>
      <c r="F30" s="406">
        <v>0</v>
      </c>
      <c r="G30" s="406">
        <v>962785</v>
      </c>
      <c r="H30" s="406">
        <f t="shared" si="0"/>
        <v>4129497</v>
      </c>
    </row>
    <row r="31" spans="1:8" ht="12.75">
      <c r="A31" s="11">
        <v>23</v>
      </c>
      <c r="B31" s="12" t="s">
        <v>136</v>
      </c>
      <c r="C31" s="405">
        <v>312021</v>
      </c>
      <c r="D31" s="405">
        <v>209745</v>
      </c>
      <c r="E31" s="405">
        <v>1030000</v>
      </c>
      <c r="F31" s="405">
        <v>5500</v>
      </c>
      <c r="G31" s="405">
        <v>35343</v>
      </c>
      <c r="H31" s="405">
        <f t="shared" si="0"/>
        <v>1592609</v>
      </c>
    </row>
    <row r="32" spans="1:8" ht="12.75">
      <c r="A32" s="13">
        <v>24</v>
      </c>
      <c r="B32" s="14" t="s">
        <v>137</v>
      </c>
      <c r="C32" s="406">
        <v>951707</v>
      </c>
      <c r="D32" s="406">
        <v>164135</v>
      </c>
      <c r="E32" s="406">
        <v>288000</v>
      </c>
      <c r="F32" s="406">
        <v>2800</v>
      </c>
      <c r="G32" s="406">
        <v>144189</v>
      </c>
      <c r="H32" s="406">
        <f t="shared" si="0"/>
        <v>1550831</v>
      </c>
    </row>
    <row r="33" spans="1:8" ht="12.75">
      <c r="A33" s="11">
        <v>25</v>
      </c>
      <c r="B33" s="12" t="s">
        <v>138</v>
      </c>
      <c r="C33" s="405">
        <v>550507</v>
      </c>
      <c r="D33" s="405">
        <v>186432</v>
      </c>
      <c r="E33" s="405">
        <v>762000</v>
      </c>
      <c r="F33" s="405">
        <v>70216</v>
      </c>
      <c r="G33" s="405">
        <v>77132</v>
      </c>
      <c r="H33" s="405">
        <f t="shared" si="0"/>
        <v>1646287</v>
      </c>
    </row>
    <row r="34" spans="1:8" ht="12.75">
      <c r="A34" s="13">
        <v>26</v>
      </c>
      <c r="B34" s="14" t="s">
        <v>139</v>
      </c>
      <c r="C34" s="406">
        <v>1621675</v>
      </c>
      <c r="D34" s="406">
        <v>342402</v>
      </c>
      <c r="E34" s="406">
        <v>670000</v>
      </c>
      <c r="F34" s="406">
        <v>0</v>
      </c>
      <c r="G34" s="406">
        <v>297822</v>
      </c>
      <c r="H34" s="406">
        <f t="shared" si="0"/>
        <v>2931899</v>
      </c>
    </row>
    <row r="35" spans="1:8" ht="12.75">
      <c r="A35" s="11">
        <v>28</v>
      </c>
      <c r="B35" s="12" t="s">
        <v>140</v>
      </c>
      <c r="C35" s="405">
        <v>524924</v>
      </c>
      <c r="D35" s="405">
        <v>66000</v>
      </c>
      <c r="E35" s="405">
        <v>476000</v>
      </c>
      <c r="F35" s="405">
        <v>0</v>
      </c>
      <c r="G35" s="405">
        <v>0</v>
      </c>
      <c r="H35" s="405">
        <f t="shared" si="0"/>
        <v>1066924</v>
      </c>
    </row>
    <row r="36" spans="1:8" ht="12.75">
      <c r="A36" s="13">
        <v>30</v>
      </c>
      <c r="B36" s="14" t="s">
        <v>141</v>
      </c>
      <c r="C36" s="406">
        <v>408012</v>
      </c>
      <c r="D36" s="406">
        <v>258281</v>
      </c>
      <c r="E36" s="406">
        <v>460000</v>
      </c>
      <c r="F36" s="406">
        <v>7255</v>
      </c>
      <c r="G36" s="406">
        <v>319216</v>
      </c>
      <c r="H36" s="406">
        <f t="shared" si="0"/>
        <v>1452764</v>
      </c>
    </row>
    <row r="37" spans="1:8" ht="12.75">
      <c r="A37" s="11">
        <v>31</v>
      </c>
      <c r="B37" s="12" t="s">
        <v>142</v>
      </c>
      <c r="C37" s="405">
        <v>1008944</v>
      </c>
      <c r="D37" s="405">
        <v>231500</v>
      </c>
      <c r="E37" s="405">
        <v>79000</v>
      </c>
      <c r="F37" s="405">
        <v>2000</v>
      </c>
      <c r="G37" s="405">
        <v>63970</v>
      </c>
      <c r="H37" s="405">
        <f t="shared" si="0"/>
        <v>1385414</v>
      </c>
    </row>
    <row r="38" spans="1:8" ht="12.75">
      <c r="A38" s="13">
        <v>32</v>
      </c>
      <c r="B38" s="14" t="s">
        <v>143</v>
      </c>
      <c r="C38" s="406">
        <v>482613</v>
      </c>
      <c r="D38" s="406">
        <v>206686</v>
      </c>
      <c r="E38" s="406">
        <v>790000</v>
      </c>
      <c r="F38" s="406">
        <v>2073</v>
      </c>
      <c r="G38" s="406">
        <v>11237</v>
      </c>
      <c r="H38" s="406">
        <f t="shared" si="0"/>
        <v>1492609</v>
      </c>
    </row>
    <row r="39" spans="1:8" ht="12.75">
      <c r="A39" s="11">
        <v>33</v>
      </c>
      <c r="B39" s="12" t="s">
        <v>144</v>
      </c>
      <c r="C39" s="405">
        <v>718049</v>
      </c>
      <c r="D39" s="405">
        <v>132445</v>
      </c>
      <c r="E39" s="405">
        <v>112000</v>
      </c>
      <c r="F39" s="405">
        <v>0</v>
      </c>
      <c r="G39" s="405">
        <v>89131</v>
      </c>
      <c r="H39" s="405">
        <f t="shared" si="0"/>
        <v>1051625</v>
      </c>
    </row>
    <row r="40" spans="1:8" ht="12.75">
      <c r="A40" s="13">
        <v>34</v>
      </c>
      <c r="B40" s="14" t="s">
        <v>145</v>
      </c>
      <c r="C40" s="406">
        <v>263089.64</v>
      </c>
      <c r="D40" s="406">
        <v>21263</v>
      </c>
      <c r="E40" s="406">
        <v>597000</v>
      </c>
      <c r="F40" s="406">
        <v>2142.72</v>
      </c>
      <c r="G40" s="406">
        <v>97621.64</v>
      </c>
      <c r="H40" s="406">
        <f t="shared" si="0"/>
        <v>981117</v>
      </c>
    </row>
    <row r="41" spans="1:8" ht="12.75">
      <c r="A41" s="11">
        <v>35</v>
      </c>
      <c r="B41" s="12" t="s">
        <v>146</v>
      </c>
      <c r="C41" s="405">
        <v>322582</v>
      </c>
      <c r="D41" s="405">
        <v>241315</v>
      </c>
      <c r="E41" s="405">
        <v>193000</v>
      </c>
      <c r="F41" s="405">
        <v>300</v>
      </c>
      <c r="G41" s="405">
        <v>200433</v>
      </c>
      <c r="H41" s="405">
        <f t="shared" si="0"/>
        <v>957630</v>
      </c>
    </row>
    <row r="42" spans="1:8" ht="12.75">
      <c r="A42" s="13">
        <v>36</v>
      </c>
      <c r="B42" s="14" t="s">
        <v>147</v>
      </c>
      <c r="C42" s="406">
        <v>475458</v>
      </c>
      <c r="D42" s="406">
        <v>216652</v>
      </c>
      <c r="E42" s="406">
        <v>147000</v>
      </c>
      <c r="F42" s="406">
        <v>4500</v>
      </c>
      <c r="G42" s="406">
        <v>233892</v>
      </c>
      <c r="H42" s="406">
        <f t="shared" si="0"/>
        <v>1077502</v>
      </c>
    </row>
    <row r="43" spans="1:8" ht="12.75">
      <c r="A43" s="11">
        <v>37</v>
      </c>
      <c r="B43" s="12" t="s">
        <v>148</v>
      </c>
      <c r="C43" s="405">
        <v>525842</v>
      </c>
      <c r="D43" s="405">
        <v>0</v>
      </c>
      <c r="E43" s="405">
        <v>191000</v>
      </c>
      <c r="F43" s="405">
        <v>1286</v>
      </c>
      <c r="G43" s="405">
        <v>325728</v>
      </c>
      <c r="H43" s="405">
        <f t="shared" si="0"/>
        <v>1043856</v>
      </c>
    </row>
    <row r="44" spans="1:8" ht="12.75">
      <c r="A44" s="13">
        <v>38</v>
      </c>
      <c r="B44" s="14" t="s">
        <v>149</v>
      </c>
      <c r="C44" s="406">
        <v>627934</v>
      </c>
      <c r="D44" s="406">
        <v>284952</v>
      </c>
      <c r="E44" s="406">
        <v>165659</v>
      </c>
      <c r="F44" s="406">
        <v>0</v>
      </c>
      <c r="G44" s="406">
        <v>490314</v>
      </c>
      <c r="H44" s="406">
        <f t="shared" si="0"/>
        <v>1568859</v>
      </c>
    </row>
    <row r="45" spans="1:8" ht="12.75">
      <c r="A45" s="11">
        <v>39</v>
      </c>
      <c r="B45" s="12" t="s">
        <v>150</v>
      </c>
      <c r="C45" s="405">
        <v>966878</v>
      </c>
      <c r="D45" s="405">
        <v>501930</v>
      </c>
      <c r="E45" s="405">
        <v>503000</v>
      </c>
      <c r="F45" s="405">
        <v>0</v>
      </c>
      <c r="G45" s="405">
        <v>107229</v>
      </c>
      <c r="H45" s="405">
        <f t="shared" si="0"/>
        <v>2079037</v>
      </c>
    </row>
    <row r="46" spans="1:8" ht="12.75">
      <c r="A46" s="13">
        <v>40</v>
      </c>
      <c r="B46" s="14" t="s">
        <v>151</v>
      </c>
      <c r="C46" s="406">
        <v>2387885</v>
      </c>
      <c r="D46" s="406">
        <v>660303</v>
      </c>
      <c r="E46" s="406">
        <v>1177000</v>
      </c>
      <c r="F46" s="406">
        <v>18393</v>
      </c>
      <c r="G46" s="406">
        <v>2161209</v>
      </c>
      <c r="H46" s="406">
        <f t="shared" si="0"/>
        <v>6404790</v>
      </c>
    </row>
    <row r="47" spans="1:8" ht="12.75">
      <c r="A47" s="11">
        <v>41</v>
      </c>
      <c r="B47" s="12" t="s">
        <v>152</v>
      </c>
      <c r="C47" s="405">
        <v>1097482</v>
      </c>
      <c r="D47" s="405">
        <v>180000</v>
      </c>
      <c r="E47" s="405">
        <v>1269000</v>
      </c>
      <c r="F47" s="405">
        <v>5171</v>
      </c>
      <c r="G47" s="405">
        <v>440767</v>
      </c>
      <c r="H47" s="405">
        <f t="shared" si="0"/>
        <v>2992420</v>
      </c>
    </row>
    <row r="48" spans="1:8" ht="12.75">
      <c r="A48" s="13">
        <v>42</v>
      </c>
      <c r="B48" s="14" t="s">
        <v>153</v>
      </c>
      <c r="C48" s="406">
        <v>207200</v>
      </c>
      <c r="D48" s="406">
        <v>138507</v>
      </c>
      <c r="E48" s="406">
        <v>195000</v>
      </c>
      <c r="F48" s="406">
        <v>0</v>
      </c>
      <c r="G48" s="406">
        <v>80646</v>
      </c>
      <c r="H48" s="406">
        <f t="shared" si="0"/>
        <v>621353</v>
      </c>
    </row>
    <row r="49" spans="1:8" ht="12.75">
      <c r="A49" s="11">
        <v>43</v>
      </c>
      <c r="B49" s="12" t="s">
        <v>154</v>
      </c>
      <c r="C49" s="405">
        <v>383764</v>
      </c>
      <c r="D49" s="405">
        <v>74074</v>
      </c>
      <c r="E49" s="405">
        <v>629000</v>
      </c>
      <c r="F49" s="405">
        <v>2981</v>
      </c>
      <c r="G49" s="405">
        <v>58393</v>
      </c>
      <c r="H49" s="405">
        <f t="shared" si="0"/>
        <v>1148212</v>
      </c>
    </row>
    <row r="50" spans="1:8" ht="12.75">
      <c r="A50" s="13">
        <v>44</v>
      </c>
      <c r="B50" s="14" t="s">
        <v>155</v>
      </c>
      <c r="C50" s="406">
        <v>388653</v>
      </c>
      <c r="D50" s="406">
        <v>253533</v>
      </c>
      <c r="E50" s="406">
        <v>757000</v>
      </c>
      <c r="F50" s="406">
        <v>4662</v>
      </c>
      <c r="G50" s="406">
        <v>140093</v>
      </c>
      <c r="H50" s="406">
        <f t="shared" si="0"/>
        <v>1543941</v>
      </c>
    </row>
    <row r="51" spans="1:8" ht="12.75">
      <c r="A51" s="11">
        <v>45</v>
      </c>
      <c r="B51" s="12" t="s">
        <v>156</v>
      </c>
      <c r="C51" s="405">
        <v>316095</v>
      </c>
      <c r="D51" s="405">
        <v>82487</v>
      </c>
      <c r="E51" s="405">
        <v>313000</v>
      </c>
      <c r="F51" s="405">
        <v>0</v>
      </c>
      <c r="G51" s="405">
        <v>140771</v>
      </c>
      <c r="H51" s="405">
        <f t="shared" si="0"/>
        <v>852353</v>
      </c>
    </row>
    <row r="52" spans="1:8" ht="12.75">
      <c r="A52" s="13">
        <v>46</v>
      </c>
      <c r="B52" s="14" t="s">
        <v>157</v>
      </c>
      <c r="C52" s="406">
        <v>212352</v>
      </c>
      <c r="D52" s="406">
        <v>68588</v>
      </c>
      <c r="E52" s="406">
        <v>170000</v>
      </c>
      <c r="F52" s="406">
        <v>1000</v>
      </c>
      <c r="G52" s="406">
        <v>66103</v>
      </c>
      <c r="H52" s="406">
        <f t="shared" si="0"/>
        <v>518043</v>
      </c>
    </row>
    <row r="53" spans="1:8" ht="12.75">
      <c r="A53" s="11">
        <v>47</v>
      </c>
      <c r="B53" s="12" t="s">
        <v>158</v>
      </c>
      <c r="C53" s="405">
        <v>743030</v>
      </c>
      <c r="D53" s="405">
        <v>86608</v>
      </c>
      <c r="E53" s="405">
        <v>332758</v>
      </c>
      <c r="F53" s="405">
        <v>5278</v>
      </c>
      <c r="G53" s="405">
        <v>25508</v>
      </c>
      <c r="H53" s="405">
        <f t="shared" si="0"/>
        <v>1193182</v>
      </c>
    </row>
    <row r="54" spans="1:8" ht="12.75">
      <c r="A54" s="13">
        <v>48</v>
      </c>
      <c r="B54" s="14" t="s">
        <v>159</v>
      </c>
      <c r="C54" s="406">
        <v>832514</v>
      </c>
      <c r="D54" s="406">
        <v>244264</v>
      </c>
      <c r="E54" s="406">
        <v>1318106</v>
      </c>
      <c r="F54" s="406">
        <v>43682</v>
      </c>
      <c r="G54" s="406">
        <v>2823398</v>
      </c>
      <c r="H54" s="406">
        <f t="shared" si="0"/>
        <v>5261964</v>
      </c>
    </row>
    <row r="55" spans="1:8" ht="12.75">
      <c r="A55" s="11">
        <v>49</v>
      </c>
      <c r="B55" s="12" t="s">
        <v>160</v>
      </c>
      <c r="C55" s="405">
        <v>2446151</v>
      </c>
      <c r="D55" s="405">
        <v>181202</v>
      </c>
      <c r="E55" s="405">
        <v>6036000</v>
      </c>
      <c r="F55" s="405">
        <v>0</v>
      </c>
      <c r="G55" s="405">
        <v>2891219</v>
      </c>
      <c r="H55" s="405">
        <f t="shared" si="0"/>
        <v>11554572</v>
      </c>
    </row>
    <row r="56" spans="1:8" ht="12.75">
      <c r="A56" s="13">
        <v>50</v>
      </c>
      <c r="B56" s="14" t="s">
        <v>343</v>
      </c>
      <c r="C56" s="406">
        <v>772901</v>
      </c>
      <c r="D56" s="406">
        <v>402797</v>
      </c>
      <c r="E56" s="406">
        <v>254000</v>
      </c>
      <c r="F56" s="406">
        <v>16372</v>
      </c>
      <c r="G56" s="406">
        <v>39805</v>
      </c>
      <c r="H56" s="406">
        <f t="shared" si="0"/>
        <v>1485875</v>
      </c>
    </row>
    <row r="57" spans="1:8" ht="12.75">
      <c r="A57" s="11">
        <v>2264</v>
      </c>
      <c r="B57" s="12" t="s">
        <v>161</v>
      </c>
      <c r="C57" s="405">
        <v>81618</v>
      </c>
      <c r="D57" s="405">
        <v>0</v>
      </c>
      <c r="E57" s="405">
        <v>0</v>
      </c>
      <c r="F57" s="405">
        <v>0</v>
      </c>
      <c r="G57" s="405">
        <v>224342</v>
      </c>
      <c r="H57" s="405">
        <f t="shared" si="0"/>
        <v>305960</v>
      </c>
    </row>
    <row r="58" spans="1:8" ht="12.75">
      <c r="A58" s="13">
        <v>2309</v>
      </c>
      <c r="B58" s="14" t="s">
        <v>162</v>
      </c>
      <c r="C58" s="406">
        <v>30460</v>
      </c>
      <c r="D58" s="406">
        <v>0</v>
      </c>
      <c r="E58" s="406">
        <v>0</v>
      </c>
      <c r="F58" s="406">
        <v>0</v>
      </c>
      <c r="G58" s="406">
        <v>0</v>
      </c>
      <c r="H58" s="406">
        <f t="shared" si="0"/>
        <v>30460</v>
      </c>
    </row>
    <row r="59" spans="1:8" ht="12.75">
      <c r="A59" s="11">
        <v>2312</v>
      </c>
      <c r="B59" s="12" t="s">
        <v>163</v>
      </c>
      <c r="C59" s="405">
        <v>19496</v>
      </c>
      <c r="D59" s="405">
        <v>0</v>
      </c>
      <c r="E59" s="405">
        <v>0</v>
      </c>
      <c r="F59" s="405">
        <v>0</v>
      </c>
      <c r="G59" s="405">
        <v>0</v>
      </c>
      <c r="H59" s="405">
        <f t="shared" si="0"/>
        <v>19496</v>
      </c>
    </row>
    <row r="60" spans="1:8" ht="12.75">
      <c r="A60" s="13">
        <v>2355</v>
      </c>
      <c r="B60" s="14" t="s">
        <v>164</v>
      </c>
      <c r="C60" s="406">
        <v>865194</v>
      </c>
      <c r="D60" s="406">
        <v>78625</v>
      </c>
      <c r="E60" s="406">
        <v>1911000</v>
      </c>
      <c r="F60" s="406">
        <v>0</v>
      </c>
      <c r="G60" s="406">
        <v>260585</v>
      </c>
      <c r="H60" s="406">
        <f t="shared" si="0"/>
        <v>3115404</v>
      </c>
    </row>
    <row r="61" spans="1:8" ht="12.75">
      <c r="A61" s="11">
        <v>2439</v>
      </c>
      <c r="B61" s="12" t="s">
        <v>165</v>
      </c>
      <c r="C61" s="405">
        <v>49527.89</v>
      </c>
      <c r="D61" s="405">
        <v>58295.36</v>
      </c>
      <c r="E61" s="405">
        <v>0</v>
      </c>
      <c r="F61" s="405">
        <v>2754.42</v>
      </c>
      <c r="G61" s="405">
        <v>55839.98</v>
      </c>
      <c r="H61" s="405">
        <f t="shared" si="0"/>
        <v>166417.65</v>
      </c>
    </row>
    <row r="62" spans="1:8" ht="12.75">
      <c r="A62" s="13">
        <v>2460</v>
      </c>
      <c r="B62" s="14" t="s">
        <v>166</v>
      </c>
      <c r="C62" s="406">
        <v>337548</v>
      </c>
      <c r="D62" s="406">
        <v>34672</v>
      </c>
      <c r="E62" s="406">
        <v>457000</v>
      </c>
      <c r="F62" s="406">
        <v>0</v>
      </c>
      <c r="G62" s="406">
        <v>0</v>
      </c>
      <c r="H62" s="406">
        <f t="shared" si="0"/>
        <v>829220</v>
      </c>
    </row>
    <row r="63" spans="1:8" ht="12.75">
      <c r="A63" s="11">
        <v>3000</v>
      </c>
      <c r="B63" s="12" t="s">
        <v>366</v>
      </c>
      <c r="C63" s="405">
        <v>729361</v>
      </c>
      <c r="D63" s="405">
        <v>62569</v>
      </c>
      <c r="E63" s="405">
        <v>0</v>
      </c>
      <c r="F63" s="405">
        <v>0</v>
      </c>
      <c r="G63" s="405">
        <v>0</v>
      </c>
      <c r="H63" s="405">
        <f t="shared" si="0"/>
        <v>791930</v>
      </c>
    </row>
    <row r="64" spans="1:8" ht="4.5" customHeight="1">
      <c r="A64" s="15"/>
      <c r="B64" s="15"/>
      <c r="C64" s="412"/>
      <c r="D64" s="412"/>
      <c r="E64" s="412"/>
      <c r="F64" s="412"/>
      <c r="G64" s="412"/>
      <c r="H64" s="412"/>
    </row>
    <row r="65" spans="1:8" ht="12.75">
      <c r="A65" s="17"/>
      <c r="B65" s="18" t="s">
        <v>167</v>
      </c>
      <c r="C65" s="407">
        <f aca="true" t="shared" si="1" ref="C65:H65">SUM(C11:C63)</f>
        <v>59070326.53</v>
      </c>
      <c r="D65" s="407">
        <f t="shared" si="1"/>
        <v>14272969.36</v>
      </c>
      <c r="E65" s="407">
        <f t="shared" si="1"/>
        <v>53255574</v>
      </c>
      <c r="F65" s="407">
        <f t="shared" si="1"/>
        <v>2683574.14</v>
      </c>
      <c r="G65" s="407">
        <f t="shared" si="1"/>
        <v>38345467.3</v>
      </c>
      <c r="H65" s="407">
        <f t="shared" si="1"/>
        <v>167627911.33</v>
      </c>
    </row>
    <row r="66" spans="1:8" ht="4.5" customHeight="1">
      <c r="A66" s="15"/>
      <c r="B66" s="15"/>
      <c r="C66" s="412"/>
      <c r="D66" s="412"/>
      <c r="E66" s="412"/>
      <c r="F66" s="412"/>
      <c r="G66" s="412"/>
      <c r="H66" s="412"/>
    </row>
    <row r="67" spans="1:8" ht="12.75">
      <c r="A67" s="13">
        <v>2155</v>
      </c>
      <c r="B67" s="14" t="s">
        <v>168</v>
      </c>
      <c r="C67" s="406">
        <v>0</v>
      </c>
      <c r="D67" s="406">
        <v>0</v>
      </c>
      <c r="E67" s="406">
        <v>0</v>
      </c>
      <c r="F67" s="406">
        <v>0</v>
      </c>
      <c r="G67" s="406">
        <v>0</v>
      </c>
      <c r="H67" s="406">
        <f>SUM(C67:G67)</f>
        <v>0</v>
      </c>
    </row>
    <row r="68" spans="1:8" ht="12.75">
      <c r="A68" s="11">
        <v>2408</v>
      </c>
      <c r="B68" s="12" t="s">
        <v>170</v>
      </c>
      <c r="C68" s="405">
        <v>0</v>
      </c>
      <c r="D68" s="405">
        <v>221000</v>
      </c>
      <c r="E68" s="405">
        <v>0</v>
      </c>
      <c r="F68" s="405">
        <v>4997</v>
      </c>
      <c r="G68" s="405">
        <v>614709</v>
      </c>
      <c r="H68" s="405">
        <f>SUM(C68:G68)</f>
        <v>840706</v>
      </c>
    </row>
    <row r="69" ht="6.75" customHeight="1"/>
    <row r="70" spans="1:8" ht="12" customHeight="1">
      <c r="A70" s="4"/>
      <c r="B70" s="4"/>
      <c r="C70" s="15"/>
      <c r="D70" s="15"/>
      <c r="E70" s="15"/>
      <c r="F70" s="15"/>
      <c r="G70" s="15"/>
      <c r="H70" s="15"/>
    </row>
    <row r="71" spans="1:8" ht="12" customHeight="1">
      <c r="A71" s="4"/>
      <c r="B71" s="4"/>
      <c r="C71" s="15"/>
      <c r="D71" s="15"/>
      <c r="E71" s="15"/>
      <c r="F71" s="15"/>
      <c r="G71" s="15"/>
      <c r="H71" s="15"/>
    </row>
    <row r="72" spans="1:8" ht="12" customHeight="1">
      <c r="A72" s="4"/>
      <c r="B72" s="4"/>
      <c r="C72" s="15"/>
      <c r="D72" s="15"/>
      <c r="E72" s="15"/>
      <c r="F72" s="15"/>
      <c r="G72" s="15"/>
      <c r="H72" s="15"/>
    </row>
    <row r="73" spans="1:8" ht="12" customHeight="1">
      <c r="A73" s="4"/>
      <c r="B73" s="4"/>
      <c r="C73" s="15"/>
      <c r="D73" s="15"/>
      <c r="E73" s="15"/>
      <c r="F73" s="15"/>
      <c r="G73" s="15"/>
      <c r="H73" s="15"/>
    </row>
    <row r="74" spans="1:8" ht="12" customHeight="1">
      <c r="A74" s="4"/>
      <c r="B74" s="4"/>
      <c r="C74" s="15"/>
      <c r="D74" s="15"/>
      <c r="E74" s="15"/>
      <c r="F74" s="15"/>
      <c r="G74" s="15"/>
      <c r="H74" s="15"/>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79" customWidth="1"/>
    <col min="2" max="2" width="33.83203125" style="79" customWidth="1"/>
    <col min="3" max="3" width="18.83203125" style="79" customWidth="1"/>
    <col min="4" max="5" width="19.83203125" style="79" customWidth="1"/>
    <col min="6" max="16384" width="19.83203125" style="79" customWidth="1"/>
  </cols>
  <sheetData>
    <row r="1" spans="1:2" ht="6.75" customHeight="1">
      <c r="A1" s="15"/>
      <c r="B1" s="77"/>
    </row>
    <row r="2" spans="1:7" ht="12.75">
      <c r="A2" s="9"/>
      <c r="B2" s="103"/>
      <c r="C2" s="104" t="s">
        <v>171</v>
      </c>
      <c r="D2" s="104"/>
      <c r="E2" s="104"/>
      <c r="F2" s="282"/>
      <c r="G2" s="105" t="s">
        <v>4</v>
      </c>
    </row>
    <row r="3" spans="1:7" ht="12.75">
      <c r="A3" s="10"/>
      <c r="B3" s="106"/>
      <c r="C3" s="377" t="str">
        <f>capyear</f>
        <v>CAPITAL FUND 2001/2002 ACTUAL</v>
      </c>
      <c r="D3" s="137"/>
      <c r="E3" s="137"/>
      <c r="F3" s="312"/>
      <c r="G3" s="312"/>
    </row>
    <row r="4" spans="1:7" ht="12.75">
      <c r="A4" s="8"/>
      <c r="C4" s="139"/>
      <c r="D4" s="139"/>
      <c r="E4" s="139"/>
      <c r="F4" s="139"/>
      <c r="G4" s="139"/>
    </row>
    <row r="5" spans="1:7" ht="12.75">
      <c r="A5" s="8"/>
      <c r="C5" s="54"/>
      <c r="D5" s="139"/>
      <c r="E5" s="139"/>
      <c r="F5" s="139"/>
      <c r="G5" s="139"/>
    </row>
    <row r="6" spans="1:7" ht="12.75">
      <c r="A6" s="8"/>
      <c r="C6" s="224" t="s">
        <v>181</v>
      </c>
      <c r="D6" s="124"/>
      <c r="E6" s="124"/>
      <c r="F6" s="124"/>
      <c r="G6" s="125"/>
    </row>
    <row r="7" spans="1:7" ht="12.75">
      <c r="A7" s="15"/>
      <c r="C7" s="64" t="s">
        <v>196</v>
      </c>
      <c r="D7" s="62"/>
      <c r="E7" s="62"/>
      <c r="F7" s="63"/>
      <c r="G7" s="156"/>
    </row>
    <row r="8" spans="1:7" ht="12.75">
      <c r="A8" s="91"/>
      <c r="B8" s="43"/>
      <c r="C8" s="174"/>
      <c r="D8" s="175"/>
      <c r="E8" s="175"/>
      <c r="F8" s="176"/>
      <c r="G8" s="142" t="s">
        <v>224</v>
      </c>
    </row>
    <row r="9" spans="1:7" ht="12.75">
      <c r="A9" s="49" t="s">
        <v>101</v>
      </c>
      <c r="B9" s="50" t="s">
        <v>102</v>
      </c>
      <c r="C9" s="144" t="s">
        <v>239</v>
      </c>
      <c r="D9" s="144" t="s">
        <v>240</v>
      </c>
      <c r="E9" s="144" t="s">
        <v>241</v>
      </c>
      <c r="F9" s="144" t="s">
        <v>242</v>
      </c>
      <c r="G9" s="144" t="s">
        <v>234</v>
      </c>
    </row>
    <row r="10" spans="1:7" ht="4.5" customHeight="1">
      <c r="A10" s="74"/>
      <c r="B10" s="74"/>
      <c r="C10" s="145"/>
      <c r="D10" s="145"/>
      <c r="E10" s="145"/>
      <c r="F10" s="145"/>
      <c r="G10" s="145"/>
    </row>
    <row r="11" spans="1:7" ht="12.75">
      <c r="A11" s="11">
        <v>1</v>
      </c>
      <c r="B11" s="12" t="s">
        <v>116</v>
      </c>
      <c r="C11" s="405">
        <v>921627</v>
      </c>
      <c r="D11" s="405">
        <v>4759425</v>
      </c>
      <c r="E11" s="405">
        <v>0</v>
      </c>
      <c r="F11" s="405">
        <v>224751</v>
      </c>
      <c r="G11" s="405">
        <v>11198283</v>
      </c>
    </row>
    <row r="12" spans="1:7" ht="12.75">
      <c r="A12" s="13">
        <v>2</v>
      </c>
      <c r="B12" s="14" t="s">
        <v>117</v>
      </c>
      <c r="C12" s="406">
        <v>0</v>
      </c>
      <c r="D12" s="406">
        <v>1899107</v>
      </c>
      <c r="E12" s="406">
        <v>27654</v>
      </c>
      <c r="F12" s="406">
        <v>81277</v>
      </c>
      <c r="G12" s="406">
        <v>904028</v>
      </c>
    </row>
    <row r="13" spans="1:7" ht="12.75">
      <c r="A13" s="11">
        <v>3</v>
      </c>
      <c r="B13" s="12" t="s">
        <v>118</v>
      </c>
      <c r="C13" s="405">
        <v>0</v>
      </c>
      <c r="D13" s="405">
        <v>450280</v>
      </c>
      <c r="E13" s="405">
        <v>24800</v>
      </c>
      <c r="F13" s="405">
        <v>163745</v>
      </c>
      <c r="G13" s="405">
        <v>1625322</v>
      </c>
    </row>
    <row r="14" spans="1:7" ht="12.75">
      <c r="A14" s="13">
        <v>4</v>
      </c>
      <c r="B14" s="14" t="s">
        <v>119</v>
      </c>
      <c r="C14" s="406">
        <v>0</v>
      </c>
      <c r="D14" s="406">
        <v>1385099</v>
      </c>
      <c r="E14" s="406">
        <v>34659</v>
      </c>
      <c r="F14" s="406">
        <v>236345</v>
      </c>
      <c r="G14" s="406">
        <v>993529</v>
      </c>
    </row>
    <row r="15" spans="1:7" ht="12.75">
      <c r="A15" s="11">
        <v>5</v>
      </c>
      <c r="B15" s="12" t="s">
        <v>120</v>
      </c>
      <c r="C15" s="405">
        <v>0</v>
      </c>
      <c r="D15" s="405">
        <v>840226</v>
      </c>
      <c r="E15" s="405">
        <v>120499</v>
      </c>
      <c r="F15" s="405">
        <v>182585</v>
      </c>
      <c r="G15" s="405">
        <v>2154297</v>
      </c>
    </row>
    <row r="16" spans="1:7" ht="12.75">
      <c r="A16" s="13">
        <v>6</v>
      </c>
      <c r="B16" s="14" t="s">
        <v>121</v>
      </c>
      <c r="C16" s="406">
        <v>0</v>
      </c>
      <c r="D16" s="406">
        <v>425672</v>
      </c>
      <c r="E16" s="406">
        <v>36892</v>
      </c>
      <c r="F16" s="406">
        <v>0</v>
      </c>
      <c r="G16" s="406">
        <v>3537973</v>
      </c>
    </row>
    <row r="17" spans="1:7" ht="12.75">
      <c r="A17" s="11">
        <v>9</v>
      </c>
      <c r="B17" s="12" t="s">
        <v>122</v>
      </c>
      <c r="C17" s="405">
        <v>0</v>
      </c>
      <c r="D17" s="405">
        <v>1225824</v>
      </c>
      <c r="E17" s="405">
        <v>1695</v>
      </c>
      <c r="F17" s="405">
        <v>276126</v>
      </c>
      <c r="G17" s="405">
        <v>3006314</v>
      </c>
    </row>
    <row r="18" spans="1:7" ht="12.75">
      <c r="A18" s="13">
        <v>10</v>
      </c>
      <c r="B18" s="14" t="s">
        <v>123</v>
      </c>
      <c r="C18" s="406">
        <v>92403</v>
      </c>
      <c r="D18" s="406">
        <v>3654288</v>
      </c>
      <c r="E18" s="406">
        <v>18952</v>
      </c>
      <c r="F18" s="406">
        <v>262277</v>
      </c>
      <c r="G18" s="406">
        <v>2920976.11</v>
      </c>
    </row>
    <row r="19" spans="1:7" ht="12.75">
      <c r="A19" s="11">
        <v>11</v>
      </c>
      <c r="B19" s="12" t="s">
        <v>124</v>
      </c>
      <c r="C19" s="405">
        <v>0</v>
      </c>
      <c r="D19" s="405">
        <v>741313</v>
      </c>
      <c r="E19" s="405">
        <v>3654</v>
      </c>
      <c r="F19" s="405">
        <v>944512</v>
      </c>
      <c r="G19" s="405">
        <v>1150907</v>
      </c>
    </row>
    <row r="20" spans="1:7" ht="12.75">
      <c r="A20" s="13">
        <v>12</v>
      </c>
      <c r="B20" s="14" t="s">
        <v>125</v>
      </c>
      <c r="C20" s="406">
        <v>0</v>
      </c>
      <c r="D20" s="406">
        <v>1512476</v>
      </c>
      <c r="E20" s="406">
        <v>245705</v>
      </c>
      <c r="F20" s="406">
        <v>429628</v>
      </c>
      <c r="G20" s="406">
        <v>2664380</v>
      </c>
    </row>
    <row r="21" spans="1:7" ht="12.75">
      <c r="A21" s="11">
        <v>13</v>
      </c>
      <c r="B21" s="12" t="s">
        <v>126</v>
      </c>
      <c r="C21" s="405">
        <v>0</v>
      </c>
      <c r="D21" s="405">
        <v>2931842</v>
      </c>
      <c r="E21" s="405">
        <v>0</v>
      </c>
      <c r="F21" s="405">
        <v>135958</v>
      </c>
      <c r="G21" s="405">
        <v>1044501</v>
      </c>
    </row>
    <row r="22" spans="1:7" ht="12.75">
      <c r="A22" s="13">
        <v>14</v>
      </c>
      <c r="B22" s="14" t="s">
        <v>127</v>
      </c>
      <c r="C22" s="406">
        <v>0</v>
      </c>
      <c r="D22" s="406">
        <v>1108937</v>
      </c>
      <c r="E22" s="406">
        <v>0</v>
      </c>
      <c r="F22" s="406">
        <v>592223</v>
      </c>
      <c r="G22" s="406">
        <v>2192031</v>
      </c>
    </row>
    <row r="23" spans="1:7" ht="12.75">
      <c r="A23" s="11">
        <v>15</v>
      </c>
      <c r="B23" s="12" t="s">
        <v>128</v>
      </c>
      <c r="C23" s="405">
        <v>29508</v>
      </c>
      <c r="D23" s="405">
        <v>3928433</v>
      </c>
      <c r="E23" s="405">
        <v>70234</v>
      </c>
      <c r="F23" s="405">
        <v>385399</v>
      </c>
      <c r="G23" s="405">
        <v>2635253</v>
      </c>
    </row>
    <row r="24" spans="1:7" ht="12.75">
      <c r="A24" s="13">
        <v>16</v>
      </c>
      <c r="B24" s="14" t="s">
        <v>129</v>
      </c>
      <c r="C24" s="406">
        <v>0</v>
      </c>
      <c r="D24" s="406">
        <v>236513</v>
      </c>
      <c r="E24" s="406">
        <v>0</v>
      </c>
      <c r="F24" s="406">
        <v>0</v>
      </c>
      <c r="G24" s="406">
        <v>128613</v>
      </c>
    </row>
    <row r="25" spans="1:7" ht="12.75">
      <c r="A25" s="11">
        <v>17</v>
      </c>
      <c r="B25" s="12" t="s">
        <v>130</v>
      </c>
      <c r="C25" s="405">
        <v>0</v>
      </c>
      <c r="D25" s="405">
        <v>155431</v>
      </c>
      <c r="E25" s="405">
        <v>36888</v>
      </c>
      <c r="F25" s="405">
        <v>73191</v>
      </c>
      <c r="G25" s="405">
        <v>263261</v>
      </c>
    </row>
    <row r="26" spans="1:7" ht="12.75">
      <c r="A26" s="13">
        <v>18</v>
      </c>
      <c r="B26" s="14" t="s">
        <v>131</v>
      </c>
      <c r="C26" s="406">
        <v>0</v>
      </c>
      <c r="D26" s="406">
        <v>1548731</v>
      </c>
      <c r="E26" s="406">
        <v>0</v>
      </c>
      <c r="F26" s="406">
        <v>90889</v>
      </c>
      <c r="G26" s="406">
        <v>373792</v>
      </c>
    </row>
    <row r="27" spans="1:7" ht="12.75">
      <c r="A27" s="11">
        <v>19</v>
      </c>
      <c r="B27" s="12" t="s">
        <v>132</v>
      </c>
      <c r="C27" s="405">
        <v>0</v>
      </c>
      <c r="D27" s="405">
        <v>307760</v>
      </c>
      <c r="E27" s="405">
        <v>226392</v>
      </c>
      <c r="F27" s="405">
        <v>0</v>
      </c>
      <c r="G27" s="405">
        <v>3780225</v>
      </c>
    </row>
    <row r="28" spans="1:7" ht="12.75">
      <c r="A28" s="13">
        <v>20</v>
      </c>
      <c r="B28" s="14" t="s">
        <v>133</v>
      </c>
      <c r="C28" s="406">
        <v>0</v>
      </c>
      <c r="D28" s="406">
        <v>0</v>
      </c>
      <c r="E28" s="406">
        <v>0</v>
      </c>
      <c r="F28" s="406">
        <v>75912</v>
      </c>
      <c r="G28" s="406">
        <v>491213</v>
      </c>
    </row>
    <row r="29" spans="1:7" ht="12.75">
      <c r="A29" s="11">
        <v>21</v>
      </c>
      <c r="B29" s="12" t="s">
        <v>134</v>
      </c>
      <c r="C29" s="405">
        <v>0</v>
      </c>
      <c r="D29" s="405">
        <v>487744</v>
      </c>
      <c r="E29" s="405">
        <v>0</v>
      </c>
      <c r="F29" s="405">
        <v>30551</v>
      </c>
      <c r="G29" s="405">
        <v>801845</v>
      </c>
    </row>
    <row r="30" spans="1:7" ht="12.75">
      <c r="A30" s="13">
        <v>22</v>
      </c>
      <c r="B30" s="14" t="s">
        <v>135</v>
      </c>
      <c r="C30" s="406">
        <v>0</v>
      </c>
      <c r="D30" s="406">
        <v>3130069</v>
      </c>
      <c r="E30" s="406">
        <v>0</v>
      </c>
      <c r="F30" s="406">
        <v>0</v>
      </c>
      <c r="G30" s="406">
        <v>676148</v>
      </c>
    </row>
    <row r="31" spans="1:7" ht="12.75">
      <c r="A31" s="11">
        <v>23</v>
      </c>
      <c r="B31" s="12" t="s">
        <v>136</v>
      </c>
      <c r="C31" s="405">
        <v>0</v>
      </c>
      <c r="D31" s="405">
        <v>1011511</v>
      </c>
      <c r="E31" s="405">
        <v>0</v>
      </c>
      <c r="F31" s="405">
        <v>220184</v>
      </c>
      <c r="G31" s="405">
        <v>310839</v>
      </c>
    </row>
    <row r="32" spans="1:7" ht="12.75">
      <c r="A32" s="13">
        <v>24</v>
      </c>
      <c r="B32" s="14" t="s">
        <v>137</v>
      </c>
      <c r="C32" s="406">
        <v>0</v>
      </c>
      <c r="D32" s="406">
        <v>372339</v>
      </c>
      <c r="E32" s="406">
        <v>0</v>
      </c>
      <c r="F32" s="406">
        <v>154601</v>
      </c>
      <c r="G32" s="406">
        <v>951707</v>
      </c>
    </row>
    <row r="33" spans="1:7" ht="12.75">
      <c r="A33" s="11">
        <v>25</v>
      </c>
      <c r="B33" s="12" t="s">
        <v>138</v>
      </c>
      <c r="C33" s="405">
        <v>0</v>
      </c>
      <c r="D33" s="405">
        <v>807392</v>
      </c>
      <c r="E33" s="405">
        <v>26199</v>
      </c>
      <c r="F33" s="405">
        <v>220931</v>
      </c>
      <c r="G33" s="405">
        <v>567339</v>
      </c>
    </row>
    <row r="34" spans="1:7" ht="12.75">
      <c r="A34" s="13">
        <v>26</v>
      </c>
      <c r="B34" s="14" t="s">
        <v>139</v>
      </c>
      <c r="C34" s="406">
        <v>0</v>
      </c>
      <c r="D34" s="406">
        <v>1029632</v>
      </c>
      <c r="E34" s="406">
        <v>61405</v>
      </c>
      <c r="F34" s="406">
        <v>79267</v>
      </c>
      <c r="G34" s="406">
        <v>1621675</v>
      </c>
    </row>
    <row r="35" spans="1:7" ht="12.75">
      <c r="A35" s="11">
        <v>28</v>
      </c>
      <c r="B35" s="12" t="s">
        <v>140</v>
      </c>
      <c r="C35" s="405">
        <v>0</v>
      </c>
      <c r="D35" s="405">
        <v>436724</v>
      </c>
      <c r="E35" s="405">
        <v>0</v>
      </c>
      <c r="F35" s="405">
        <v>0</v>
      </c>
      <c r="G35" s="405">
        <v>523949</v>
      </c>
    </row>
    <row r="36" spans="1:7" ht="12.75">
      <c r="A36" s="13">
        <v>30</v>
      </c>
      <c r="B36" s="14" t="s">
        <v>141</v>
      </c>
      <c r="C36" s="406">
        <v>7590</v>
      </c>
      <c r="D36" s="406">
        <v>498088</v>
      </c>
      <c r="E36" s="406">
        <v>0</v>
      </c>
      <c r="F36" s="406">
        <v>218463</v>
      </c>
      <c r="G36" s="406">
        <v>442989</v>
      </c>
    </row>
    <row r="37" spans="1:7" ht="12.75">
      <c r="A37" s="11">
        <v>31</v>
      </c>
      <c r="B37" s="12" t="s">
        <v>142</v>
      </c>
      <c r="C37" s="405">
        <v>0</v>
      </c>
      <c r="D37" s="405">
        <v>59618</v>
      </c>
      <c r="E37" s="405">
        <v>0</v>
      </c>
      <c r="F37" s="405">
        <v>235948</v>
      </c>
      <c r="G37" s="405">
        <v>1008944</v>
      </c>
    </row>
    <row r="38" spans="1:7" ht="12.75">
      <c r="A38" s="13">
        <v>32</v>
      </c>
      <c r="B38" s="14" t="s">
        <v>143</v>
      </c>
      <c r="C38" s="406">
        <v>0</v>
      </c>
      <c r="D38" s="406">
        <v>568122</v>
      </c>
      <c r="E38" s="406">
        <v>0</v>
      </c>
      <c r="F38" s="406">
        <v>148032</v>
      </c>
      <c r="G38" s="406">
        <v>479796</v>
      </c>
    </row>
    <row r="39" spans="1:7" ht="12.75">
      <c r="A39" s="11">
        <v>33</v>
      </c>
      <c r="B39" s="12" t="s">
        <v>144</v>
      </c>
      <c r="C39" s="405">
        <v>0</v>
      </c>
      <c r="D39" s="405">
        <v>162414</v>
      </c>
      <c r="E39" s="405">
        <v>0</v>
      </c>
      <c r="F39" s="405">
        <v>161152</v>
      </c>
      <c r="G39" s="405">
        <v>688330</v>
      </c>
    </row>
    <row r="40" spans="1:7" ht="12.75">
      <c r="A40" s="13">
        <v>34</v>
      </c>
      <c r="B40" s="14" t="s">
        <v>145</v>
      </c>
      <c r="C40" s="406">
        <v>0</v>
      </c>
      <c r="D40" s="406">
        <v>646806</v>
      </c>
      <c r="E40" s="406">
        <v>0</v>
      </c>
      <c r="F40" s="406">
        <v>58880</v>
      </c>
      <c r="G40" s="406">
        <v>243454</v>
      </c>
    </row>
    <row r="41" spans="1:7" ht="12.75">
      <c r="A41" s="11">
        <v>35</v>
      </c>
      <c r="B41" s="12" t="s">
        <v>146</v>
      </c>
      <c r="C41" s="405">
        <v>0</v>
      </c>
      <c r="D41" s="405">
        <v>400605</v>
      </c>
      <c r="E41" s="405">
        <v>0</v>
      </c>
      <c r="F41" s="405">
        <v>213076</v>
      </c>
      <c r="G41" s="405">
        <v>287956</v>
      </c>
    </row>
    <row r="42" spans="1:7" ht="12.75">
      <c r="A42" s="13">
        <v>36</v>
      </c>
      <c r="B42" s="14" t="s">
        <v>147</v>
      </c>
      <c r="C42" s="406">
        <v>424216</v>
      </c>
      <c r="D42" s="406">
        <v>0</v>
      </c>
      <c r="E42" s="406">
        <v>0</v>
      </c>
      <c r="F42" s="406">
        <v>146029</v>
      </c>
      <c r="G42" s="406">
        <v>290326</v>
      </c>
    </row>
    <row r="43" spans="1:7" ht="12.75">
      <c r="A43" s="11">
        <v>37</v>
      </c>
      <c r="B43" s="12" t="s">
        <v>148</v>
      </c>
      <c r="C43" s="405">
        <v>0</v>
      </c>
      <c r="D43" s="405">
        <v>437554</v>
      </c>
      <c r="E43" s="405">
        <v>0</v>
      </c>
      <c r="F43" s="405">
        <v>0</v>
      </c>
      <c r="G43" s="405">
        <v>525842</v>
      </c>
    </row>
    <row r="44" spans="1:7" ht="12.75">
      <c r="A44" s="13">
        <v>38</v>
      </c>
      <c r="B44" s="14" t="s">
        <v>149</v>
      </c>
      <c r="C44" s="406">
        <v>0</v>
      </c>
      <c r="D44" s="406">
        <v>400871</v>
      </c>
      <c r="E44" s="406">
        <v>0</v>
      </c>
      <c r="F44" s="406">
        <v>443837</v>
      </c>
      <c r="G44" s="406">
        <v>650542</v>
      </c>
    </row>
    <row r="45" spans="1:7" ht="12.75">
      <c r="A45" s="11">
        <v>39</v>
      </c>
      <c r="B45" s="12" t="s">
        <v>150</v>
      </c>
      <c r="C45" s="405">
        <v>0</v>
      </c>
      <c r="D45" s="405">
        <v>514432</v>
      </c>
      <c r="E45" s="405">
        <v>0</v>
      </c>
      <c r="F45" s="405">
        <v>186852</v>
      </c>
      <c r="G45" s="405">
        <v>966074</v>
      </c>
    </row>
    <row r="46" spans="1:7" ht="12.75">
      <c r="A46" s="13">
        <v>40</v>
      </c>
      <c r="B46" s="14" t="s">
        <v>151</v>
      </c>
      <c r="C46" s="406">
        <v>0</v>
      </c>
      <c r="D46" s="406">
        <v>1792014</v>
      </c>
      <c r="E46" s="406">
        <v>0</v>
      </c>
      <c r="F46" s="406">
        <v>504272</v>
      </c>
      <c r="G46" s="406">
        <v>2442303</v>
      </c>
    </row>
    <row r="47" spans="1:7" ht="12.75">
      <c r="A47" s="11">
        <v>41</v>
      </c>
      <c r="B47" s="12" t="s">
        <v>152</v>
      </c>
      <c r="C47" s="405">
        <v>0</v>
      </c>
      <c r="D47" s="405">
        <v>937021</v>
      </c>
      <c r="E47" s="405">
        <v>0</v>
      </c>
      <c r="F47" s="405">
        <v>220076</v>
      </c>
      <c r="G47" s="405">
        <v>1095652</v>
      </c>
    </row>
    <row r="48" spans="1:7" ht="12.75">
      <c r="A48" s="13">
        <v>42</v>
      </c>
      <c r="B48" s="14" t="s">
        <v>153</v>
      </c>
      <c r="C48" s="406">
        <v>0</v>
      </c>
      <c r="D48" s="406">
        <v>171193</v>
      </c>
      <c r="E48" s="406">
        <v>0</v>
      </c>
      <c r="F48" s="406">
        <v>138507</v>
      </c>
      <c r="G48" s="406">
        <v>205018</v>
      </c>
    </row>
    <row r="49" spans="1:7" ht="12.75">
      <c r="A49" s="11">
        <v>43</v>
      </c>
      <c r="B49" s="12" t="s">
        <v>154</v>
      </c>
      <c r="C49" s="405">
        <v>0</v>
      </c>
      <c r="D49" s="405">
        <v>632928</v>
      </c>
      <c r="E49" s="405">
        <v>0</v>
      </c>
      <c r="F49" s="405">
        <v>74075</v>
      </c>
      <c r="G49" s="405">
        <v>379835</v>
      </c>
    </row>
    <row r="50" spans="1:7" ht="12.75">
      <c r="A50" s="13">
        <v>44</v>
      </c>
      <c r="B50" s="14" t="s">
        <v>155</v>
      </c>
      <c r="C50" s="406">
        <v>0</v>
      </c>
      <c r="D50" s="406">
        <v>796426</v>
      </c>
      <c r="E50" s="406">
        <v>0</v>
      </c>
      <c r="F50" s="406">
        <v>140054</v>
      </c>
      <c r="G50" s="406">
        <v>387430</v>
      </c>
    </row>
    <row r="51" spans="1:7" ht="12.75">
      <c r="A51" s="11">
        <v>45</v>
      </c>
      <c r="B51" s="12" t="s">
        <v>156</v>
      </c>
      <c r="C51" s="405">
        <v>0</v>
      </c>
      <c r="D51" s="405">
        <v>454369</v>
      </c>
      <c r="E51" s="405">
        <v>0</v>
      </c>
      <c r="F51" s="405">
        <v>81888</v>
      </c>
      <c r="G51" s="405">
        <v>316096</v>
      </c>
    </row>
    <row r="52" spans="1:7" ht="12.75">
      <c r="A52" s="13">
        <v>46</v>
      </c>
      <c r="B52" s="14" t="s">
        <v>157</v>
      </c>
      <c r="C52" s="406">
        <v>0</v>
      </c>
      <c r="D52" s="406">
        <v>190750</v>
      </c>
      <c r="E52" s="406">
        <v>0</v>
      </c>
      <c r="F52" s="406">
        <v>0</v>
      </c>
      <c r="G52" s="406">
        <v>188352</v>
      </c>
    </row>
    <row r="53" spans="1:7" ht="12.75">
      <c r="A53" s="11">
        <v>47</v>
      </c>
      <c r="B53" s="12" t="s">
        <v>158</v>
      </c>
      <c r="C53" s="405">
        <v>0</v>
      </c>
      <c r="D53" s="405">
        <v>23269</v>
      </c>
      <c r="E53" s="405">
        <v>0</v>
      </c>
      <c r="F53" s="405">
        <v>307974</v>
      </c>
      <c r="G53" s="405">
        <v>740875</v>
      </c>
    </row>
    <row r="54" spans="1:7" ht="12.75">
      <c r="A54" s="13">
        <v>48</v>
      </c>
      <c r="B54" s="14" t="s">
        <v>159</v>
      </c>
      <c r="C54" s="406">
        <v>4098</v>
      </c>
      <c r="D54" s="406">
        <v>1347370</v>
      </c>
      <c r="E54" s="406">
        <v>0</v>
      </c>
      <c r="F54" s="406">
        <v>273705</v>
      </c>
      <c r="G54" s="406">
        <v>832514</v>
      </c>
    </row>
    <row r="55" spans="1:7" ht="12.75">
      <c r="A55" s="11">
        <v>49</v>
      </c>
      <c r="B55" s="12" t="s">
        <v>160</v>
      </c>
      <c r="C55" s="405">
        <v>1185345</v>
      </c>
      <c r="D55" s="405">
        <v>4752097</v>
      </c>
      <c r="E55" s="405">
        <v>94721</v>
      </c>
      <c r="F55" s="405">
        <v>0</v>
      </c>
      <c r="G55" s="405">
        <v>2615315</v>
      </c>
    </row>
    <row r="56" spans="1:7" ht="12.75">
      <c r="A56" s="13">
        <v>50</v>
      </c>
      <c r="B56" s="14" t="s">
        <v>343</v>
      </c>
      <c r="C56" s="406">
        <v>0</v>
      </c>
      <c r="D56" s="406">
        <v>272132</v>
      </c>
      <c r="E56" s="406">
        <v>0</v>
      </c>
      <c r="F56" s="406">
        <v>231673</v>
      </c>
      <c r="G56" s="406">
        <v>767679</v>
      </c>
    </row>
    <row r="57" spans="1:7" ht="12.75">
      <c r="A57" s="11">
        <v>2264</v>
      </c>
      <c r="B57" s="12" t="s">
        <v>161</v>
      </c>
      <c r="C57" s="405">
        <v>0</v>
      </c>
      <c r="D57" s="405">
        <v>42262</v>
      </c>
      <c r="E57" s="405">
        <v>0</v>
      </c>
      <c r="F57" s="405">
        <v>0</v>
      </c>
      <c r="G57" s="405">
        <v>39356</v>
      </c>
    </row>
    <row r="58" spans="1:7" ht="12.75">
      <c r="A58" s="13">
        <v>2309</v>
      </c>
      <c r="B58" s="14" t="s">
        <v>162</v>
      </c>
      <c r="C58" s="406">
        <v>0</v>
      </c>
      <c r="D58" s="406">
        <v>0</v>
      </c>
      <c r="E58" s="406">
        <v>0</v>
      </c>
      <c r="F58" s="406">
        <v>0</v>
      </c>
      <c r="G58" s="406">
        <v>30460</v>
      </c>
    </row>
    <row r="59" spans="1:7" ht="12.75">
      <c r="A59" s="11">
        <v>2312</v>
      </c>
      <c r="B59" s="12" t="s">
        <v>163</v>
      </c>
      <c r="C59" s="405">
        <v>0</v>
      </c>
      <c r="D59" s="405">
        <v>0</v>
      </c>
      <c r="E59" s="405">
        <v>0</v>
      </c>
      <c r="F59" s="405">
        <v>0</v>
      </c>
      <c r="G59" s="405">
        <v>19496</v>
      </c>
    </row>
    <row r="60" spans="1:7" ht="12.75">
      <c r="A60" s="13">
        <v>2355</v>
      </c>
      <c r="B60" s="14" t="s">
        <v>164</v>
      </c>
      <c r="C60" s="406">
        <v>0</v>
      </c>
      <c r="D60" s="406">
        <v>1941722</v>
      </c>
      <c r="E60" s="406">
        <v>0</v>
      </c>
      <c r="F60" s="406">
        <v>0</v>
      </c>
      <c r="G60" s="406">
        <v>943294</v>
      </c>
    </row>
    <row r="61" spans="1:7" ht="12.75">
      <c r="A61" s="11">
        <v>2439</v>
      </c>
      <c r="B61" s="12" t="s">
        <v>165</v>
      </c>
      <c r="C61" s="405">
        <v>0</v>
      </c>
      <c r="D61" s="405">
        <v>20096.19</v>
      </c>
      <c r="E61" s="405">
        <v>29707.82</v>
      </c>
      <c r="F61" s="405">
        <v>0</v>
      </c>
      <c r="G61" s="405">
        <v>48019.2</v>
      </c>
    </row>
    <row r="62" spans="1:7" ht="12.75">
      <c r="A62" s="13">
        <v>2460</v>
      </c>
      <c r="B62" s="14" t="s">
        <v>166</v>
      </c>
      <c r="C62" s="406">
        <v>0</v>
      </c>
      <c r="D62" s="406">
        <v>457000</v>
      </c>
      <c r="E62" s="406">
        <v>0</v>
      </c>
      <c r="F62" s="406">
        <v>34672</v>
      </c>
      <c r="G62" s="406">
        <v>337548</v>
      </c>
    </row>
    <row r="63" spans="1:7" ht="12.75">
      <c r="A63" s="11">
        <v>3000</v>
      </c>
      <c r="B63" s="12" t="s">
        <v>366</v>
      </c>
      <c r="C63" s="405">
        <v>0</v>
      </c>
      <c r="D63" s="405">
        <v>0</v>
      </c>
      <c r="E63" s="405">
        <v>0</v>
      </c>
      <c r="F63" s="405">
        <v>0</v>
      </c>
      <c r="G63" s="405">
        <v>791930</v>
      </c>
    </row>
    <row r="64" spans="1:7" ht="4.5" customHeight="1">
      <c r="A64" s="15"/>
      <c r="B64" s="15"/>
      <c r="C64" s="412"/>
      <c r="D64" s="412"/>
      <c r="E64" s="412"/>
      <c r="F64" s="412"/>
      <c r="G64" s="412"/>
    </row>
    <row r="65" spans="1:7" ht="12.75">
      <c r="A65" s="17"/>
      <c r="B65" s="18" t="s">
        <v>167</v>
      </c>
      <c r="C65" s="407">
        <f>SUM(C11:C63)</f>
        <v>2664787</v>
      </c>
      <c r="D65" s="407">
        <f>SUM(D11:D63)</f>
        <v>51905927.19</v>
      </c>
      <c r="E65" s="407">
        <f>SUM(E11:E63)</f>
        <v>1060056.82</v>
      </c>
      <c r="F65" s="407">
        <f>SUM(F11:F63)</f>
        <v>8679517</v>
      </c>
      <c r="G65" s="407">
        <f>SUM(G11:G63)</f>
        <v>64283825.31</v>
      </c>
    </row>
    <row r="66" spans="1:7" ht="4.5" customHeight="1">
      <c r="A66" s="15"/>
      <c r="B66" s="15"/>
      <c r="C66" s="412"/>
      <c r="D66" s="412"/>
      <c r="E66" s="412"/>
      <c r="F66" s="412"/>
      <c r="G66" s="412"/>
    </row>
    <row r="67" spans="1:7" ht="12.75">
      <c r="A67" s="13">
        <v>2155</v>
      </c>
      <c r="B67" s="14" t="s">
        <v>168</v>
      </c>
      <c r="C67" s="406">
        <v>0</v>
      </c>
      <c r="D67" s="406">
        <v>0</v>
      </c>
      <c r="E67" s="406">
        <v>0</v>
      </c>
      <c r="F67" s="406">
        <v>0</v>
      </c>
      <c r="G67" s="406">
        <v>0</v>
      </c>
    </row>
    <row r="68" spans="1:7" ht="12.75">
      <c r="A68" s="11">
        <v>2408</v>
      </c>
      <c r="B68" s="12" t="s">
        <v>170</v>
      </c>
      <c r="C68" s="405">
        <v>0</v>
      </c>
      <c r="D68" s="405">
        <v>708705</v>
      </c>
      <c r="E68" s="405">
        <v>0</v>
      </c>
      <c r="F68" s="405">
        <v>0</v>
      </c>
      <c r="G68" s="405">
        <v>69960</v>
      </c>
    </row>
    <row r="69" ht="6.75" customHeight="1"/>
    <row r="70" spans="1:7" ht="12" customHeight="1">
      <c r="A70" s="4"/>
      <c r="B70" s="4"/>
      <c r="C70" s="15"/>
      <c r="D70" s="15"/>
      <c r="E70" s="15"/>
      <c r="F70" s="15"/>
      <c r="G70" s="15"/>
    </row>
    <row r="71" spans="1:7" ht="12" customHeight="1">
      <c r="A71" s="4"/>
      <c r="B71" s="4"/>
      <c r="C71" s="15"/>
      <c r="D71" s="15"/>
      <c r="E71" s="15"/>
      <c r="F71" s="15"/>
      <c r="G71" s="15"/>
    </row>
    <row r="72" spans="1:7" ht="12" customHeight="1">
      <c r="A72" s="4"/>
      <c r="B72" s="4"/>
      <c r="C72" s="15"/>
      <c r="D72" s="15"/>
      <c r="E72" s="15"/>
      <c r="F72" s="15"/>
      <c r="G72" s="15"/>
    </row>
    <row r="73" spans="1:7" ht="12" customHeight="1">
      <c r="A73" s="4"/>
      <c r="B73" s="4"/>
      <c r="C73" s="15"/>
      <c r="D73" s="15"/>
      <c r="E73" s="15"/>
      <c r="F73" s="15"/>
      <c r="G73" s="15"/>
    </row>
    <row r="74" spans="1:7" ht="12" customHeight="1">
      <c r="A74" s="4"/>
      <c r="B74" s="4"/>
      <c r="C74" s="15"/>
      <c r="D74" s="15"/>
      <c r="E74" s="15"/>
      <c r="F74" s="15"/>
      <c r="G74" s="15"/>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79" customWidth="1"/>
    <col min="2" max="2" width="33.83203125" style="79" customWidth="1"/>
    <col min="3" max="5" width="20.83203125" style="79" customWidth="1"/>
    <col min="6" max="6" width="35.83203125" style="79" customWidth="1"/>
    <col min="7" max="16384" width="19.83203125" style="79" customWidth="1"/>
  </cols>
  <sheetData>
    <row r="1" spans="1:2" ht="6.75" customHeight="1">
      <c r="A1" s="15"/>
      <c r="B1" s="77"/>
    </row>
    <row r="2" spans="1:6" ht="12.75">
      <c r="A2" s="9"/>
      <c r="B2" s="103"/>
      <c r="C2" s="104" t="s">
        <v>171</v>
      </c>
      <c r="D2" s="104"/>
      <c r="E2" s="104"/>
      <c r="F2" s="105" t="s">
        <v>5</v>
      </c>
    </row>
    <row r="3" spans="1:6" ht="12.75">
      <c r="A3" s="10"/>
      <c r="B3" s="106"/>
      <c r="C3" s="377" t="str">
        <f>capyear</f>
        <v>CAPITAL FUND 2001/2002 ACTUAL</v>
      </c>
      <c r="D3" s="137"/>
      <c r="E3" s="137"/>
      <c r="F3" s="312"/>
    </row>
    <row r="4" spans="1:6" ht="12.75">
      <c r="A4" s="8"/>
      <c r="C4" s="139"/>
      <c r="E4" s="139"/>
      <c r="F4" s="139"/>
    </row>
    <row r="5" spans="1:6" ht="12.75">
      <c r="A5" s="8"/>
      <c r="C5" s="54"/>
      <c r="D5" s="139"/>
      <c r="E5" s="139"/>
      <c r="F5" s="139"/>
    </row>
    <row r="6" spans="1:6" ht="12.75">
      <c r="A6" s="8"/>
      <c r="C6" s="224" t="s">
        <v>182</v>
      </c>
      <c r="D6" s="124"/>
      <c r="E6" s="125"/>
      <c r="F6" s="139"/>
    </row>
    <row r="7" spans="1:6" ht="12.75">
      <c r="A7" s="15"/>
      <c r="C7" s="140"/>
      <c r="D7" s="140" t="s">
        <v>197</v>
      </c>
      <c r="E7" s="156"/>
      <c r="F7" s="139"/>
    </row>
    <row r="8" spans="1:6" ht="12.75">
      <c r="A8" s="91"/>
      <c r="B8" s="43"/>
      <c r="C8" s="142" t="s">
        <v>221</v>
      </c>
      <c r="D8" s="142" t="s">
        <v>225</v>
      </c>
      <c r="E8" s="173"/>
      <c r="F8" s="139"/>
    </row>
    <row r="9" spans="1:6" ht="12.75">
      <c r="A9" s="49" t="s">
        <v>101</v>
      </c>
      <c r="B9" s="50" t="s">
        <v>102</v>
      </c>
      <c r="C9" s="144" t="s">
        <v>115</v>
      </c>
      <c r="D9" s="144" t="s">
        <v>226</v>
      </c>
      <c r="E9" s="144" t="s">
        <v>70</v>
      </c>
      <c r="F9" s="139"/>
    </row>
    <row r="10" spans="1:6" ht="4.5" customHeight="1">
      <c r="A10" s="74"/>
      <c r="B10" s="74"/>
      <c r="C10" s="145"/>
      <c r="D10" s="145"/>
      <c r="E10" s="145"/>
      <c r="F10" s="77"/>
    </row>
    <row r="11" spans="1:5" ht="12.75">
      <c r="A11" s="11">
        <v>1</v>
      </c>
      <c r="B11" s="12" t="s">
        <v>116</v>
      </c>
      <c r="C11" s="405">
        <v>0</v>
      </c>
      <c r="D11" s="405">
        <v>5461068</v>
      </c>
      <c r="E11" s="405">
        <f>SUM('- 49 -'!C11:G11,C11:D11)</f>
        <v>22565154</v>
      </c>
    </row>
    <row r="12" spans="1:5" ht="12.75">
      <c r="A12" s="13">
        <v>2</v>
      </c>
      <c r="B12" s="14" t="s">
        <v>117</v>
      </c>
      <c r="C12" s="406">
        <v>0</v>
      </c>
      <c r="D12" s="406">
        <v>1351614</v>
      </c>
      <c r="E12" s="406">
        <f>SUM('- 49 -'!C12:G12,C12:D12)</f>
        <v>4263680</v>
      </c>
    </row>
    <row r="13" spans="1:5" ht="12.75">
      <c r="A13" s="11">
        <v>3</v>
      </c>
      <c r="B13" s="12" t="s">
        <v>118</v>
      </c>
      <c r="C13" s="405">
        <v>0</v>
      </c>
      <c r="D13" s="405">
        <v>0</v>
      </c>
      <c r="E13" s="405">
        <f>SUM('- 49 -'!C13:G13,C13:D13)</f>
        <v>2264147</v>
      </c>
    </row>
    <row r="14" spans="1:5" ht="12.75">
      <c r="A14" s="13">
        <v>4</v>
      </c>
      <c r="B14" s="14" t="s">
        <v>119</v>
      </c>
      <c r="C14" s="406">
        <v>1733</v>
      </c>
      <c r="D14" s="406">
        <v>3709148</v>
      </c>
      <c r="E14" s="406">
        <f>SUM('- 49 -'!C14:G14,C14:D14)</f>
        <v>6360513</v>
      </c>
    </row>
    <row r="15" spans="1:5" ht="12.75">
      <c r="A15" s="11">
        <v>5</v>
      </c>
      <c r="B15" s="12" t="s">
        <v>120</v>
      </c>
      <c r="C15" s="405">
        <v>0</v>
      </c>
      <c r="D15" s="405">
        <v>365394</v>
      </c>
      <c r="E15" s="405">
        <f>SUM('- 49 -'!C15:G15,C15:D15)</f>
        <v>3663001</v>
      </c>
    </row>
    <row r="16" spans="1:5" ht="12.75">
      <c r="A16" s="13">
        <v>6</v>
      </c>
      <c r="B16" s="14" t="s">
        <v>121</v>
      </c>
      <c r="C16" s="406">
        <v>75000</v>
      </c>
      <c r="D16" s="406">
        <v>510895</v>
      </c>
      <c r="E16" s="406">
        <f>SUM('- 49 -'!C16:G16,C16:D16)</f>
        <v>4586432</v>
      </c>
    </row>
    <row r="17" spans="1:5" ht="12.75">
      <c r="A17" s="11">
        <v>9</v>
      </c>
      <c r="B17" s="12" t="s">
        <v>122</v>
      </c>
      <c r="C17" s="405">
        <v>0</v>
      </c>
      <c r="D17" s="405">
        <v>2761260</v>
      </c>
      <c r="E17" s="405">
        <f>SUM('- 49 -'!C17:G17,C17:D17)</f>
        <v>7271219</v>
      </c>
    </row>
    <row r="18" spans="1:5" ht="12.75">
      <c r="A18" s="13">
        <v>10</v>
      </c>
      <c r="B18" s="14" t="s">
        <v>123</v>
      </c>
      <c r="C18" s="406">
        <v>0</v>
      </c>
      <c r="D18" s="406">
        <v>1022605.57</v>
      </c>
      <c r="E18" s="406">
        <f>SUM('- 49 -'!C18:G18,C18:D18)</f>
        <v>7971501.68</v>
      </c>
    </row>
    <row r="19" spans="1:5" ht="12.75">
      <c r="A19" s="11">
        <v>11</v>
      </c>
      <c r="B19" s="12" t="s">
        <v>124</v>
      </c>
      <c r="C19" s="405">
        <v>0</v>
      </c>
      <c r="D19" s="405">
        <v>176976</v>
      </c>
      <c r="E19" s="405">
        <f>SUM('- 49 -'!C19:G19,C19:D19)</f>
        <v>3017362</v>
      </c>
    </row>
    <row r="20" spans="1:5" ht="12.75">
      <c r="A20" s="13">
        <v>12</v>
      </c>
      <c r="B20" s="14" t="s">
        <v>125</v>
      </c>
      <c r="C20" s="406">
        <v>12037</v>
      </c>
      <c r="D20" s="406">
        <v>3877676</v>
      </c>
      <c r="E20" s="406">
        <f>SUM('- 49 -'!C20:G20,C20:D20)</f>
        <v>8741902</v>
      </c>
    </row>
    <row r="21" spans="1:5" ht="12.75">
      <c r="A21" s="11">
        <v>13</v>
      </c>
      <c r="B21" s="12" t="s">
        <v>126</v>
      </c>
      <c r="C21" s="405">
        <v>0</v>
      </c>
      <c r="D21" s="405">
        <v>2114407</v>
      </c>
      <c r="E21" s="405">
        <f>SUM('- 49 -'!C21:G21,C21:D21)</f>
        <v>6226708</v>
      </c>
    </row>
    <row r="22" spans="1:5" ht="12.75">
      <c r="A22" s="13">
        <v>14</v>
      </c>
      <c r="B22" s="14" t="s">
        <v>127</v>
      </c>
      <c r="C22" s="406">
        <v>32164</v>
      </c>
      <c r="D22" s="406">
        <v>154421</v>
      </c>
      <c r="E22" s="406">
        <f>SUM('- 49 -'!C22:G22,C22:D22)</f>
        <v>4079776</v>
      </c>
    </row>
    <row r="23" spans="1:5" ht="12.75">
      <c r="A23" s="11">
        <v>15</v>
      </c>
      <c r="B23" s="12" t="s">
        <v>128</v>
      </c>
      <c r="C23" s="405">
        <v>9600</v>
      </c>
      <c r="D23" s="405">
        <v>586851</v>
      </c>
      <c r="E23" s="405">
        <f>SUM('- 49 -'!C23:G23,C23:D23)</f>
        <v>7645278</v>
      </c>
    </row>
    <row r="24" spans="1:5" ht="12.75">
      <c r="A24" s="13">
        <v>16</v>
      </c>
      <c r="B24" s="14" t="s">
        <v>129</v>
      </c>
      <c r="C24" s="406">
        <v>0</v>
      </c>
      <c r="D24" s="406">
        <v>263948</v>
      </c>
      <c r="E24" s="406">
        <f>SUM('- 49 -'!C24:G24,C24:D24)</f>
        <v>629074</v>
      </c>
    </row>
    <row r="25" spans="1:5" ht="12.75">
      <c r="A25" s="11">
        <v>17</v>
      </c>
      <c r="B25" s="12" t="s">
        <v>130</v>
      </c>
      <c r="C25" s="405">
        <v>0</v>
      </c>
      <c r="D25" s="405">
        <v>108809</v>
      </c>
      <c r="E25" s="405">
        <f>SUM('- 49 -'!C25:G25,C25:D25)</f>
        <v>637580</v>
      </c>
    </row>
    <row r="26" spans="1:5" ht="12.75">
      <c r="A26" s="13">
        <v>18</v>
      </c>
      <c r="B26" s="14" t="s">
        <v>131</v>
      </c>
      <c r="C26" s="406">
        <v>20998</v>
      </c>
      <c r="D26" s="406">
        <v>341379</v>
      </c>
      <c r="E26" s="406">
        <f>SUM('- 49 -'!C26:G26,C26:D26)</f>
        <v>2375789</v>
      </c>
    </row>
    <row r="27" spans="1:5" ht="12.75">
      <c r="A27" s="11">
        <v>19</v>
      </c>
      <c r="B27" s="12" t="s">
        <v>132</v>
      </c>
      <c r="C27" s="405">
        <v>0</v>
      </c>
      <c r="D27" s="405">
        <v>3815100</v>
      </c>
      <c r="E27" s="405">
        <f>SUM('- 49 -'!C27:G27,C27:D27)</f>
        <v>8129477</v>
      </c>
    </row>
    <row r="28" spans="1:5" ht="12.75">
      <c r="A28" s="13">
        <v>20</v>
      </c>
      <c r="B28" s="14" t="s">
        <v>133</v>
      </c>
      <c r="C28" s="406">
        <v>0</v>
      </c>
      <c r="D28" s="406">
        <v>18856</v>
      </c>
      <c r="E28" s="406">
        <f>SUM('- 49 -'!C28:G28,C28:D28)</f>
        <v>585981</v>
      </c>
    </row>
    <row r="29" spans="1:5" ht="12.75">
      <c r="A29" s="11">
        <v>21</v>
      </c>
      <c r="B29" s="12" t="s">
        <v>134</v>
      </c>
      <c r="C29" s="405">
        <v>0</v>
      </c>
      <c r="D29" s="405">
        <v>449144</v>
      </c>
      <c r="E29" s="405">
        <f>SUM('- 49 -'!C29:G29,C29:D29)</f>
        <v>1769284</v>
      </c>
    </row>
    <row r="30" spans="1:5" ht="12.75">
      <c r="A30" s="13">
        <v>22</v>
      </c>
      <c r="B30" s="14" t="s">
        <v>135</v>
      </c>
      <c r="C30" s="406">
        <v>0</v>
      </c>
      <c r="D30" s="406">
        <v>323280</v>
      </c>
      <c r="E30" s="406">
        <f>SUM('- 49 -'!C30:G30,C30:D30)</f>
        <v>4129497</v>
      </c>
    </row>
    <row r="31" spans="1:5" ht="12.75">
      <c r="A31" s="11">
        <v>23</v>
      </c>
      <c r="B31" s="12" t="s">
        <v>136</v>
      </c>
      <c r="C31" s="405">
        <v>0</v>
      </c>
      <c r="D31" s="405">
        <v>50075</v>
      </c>
      <c r="E31" s="405">
        <f>SUM('- 49 -'!C31:G31,C31:D31)</f>
        <v>1592609</v>
      </c>
    </row>
    <row r="32" spans="1:5" ht="12.75">
      <c r="A32" s="13">
        <v>24</v>
      </c>
      <c r="B32" s="14" t="s">
        <v>137</v>
      </c>
      <c r="C32" s="406">
        <v>0</v>
      </c>
      <c r="D32" s="406">
        <v>72184</v>
      </c>
      <c r="E32" s="406">
        <f>SUM('- 49 -'!C32:G32,C32:D32)</f>
        <v>1550831</v>
      </c>
    </row>
    <row r="33" spans="1:5" ht="12.75">
      <c r="A33" s="11">
        <v>25</v>
      </c>
      <c r="B33" s="12" t="s">
        <v>138</v>
      </c>
      <c r="C33" s="405">
        <v>0</v>
      </c>
      <c r="D33" s="405">
        <v>24426</v>
      </c>
      <c r="E33" s="405">
        <f>SUM('- 49 -'!C33:G33,C33:D33)</f>
        <v>1646287</v>
      </c>
    </row>
    <row r="34" spans="1:5" ht="12.75">
      <c r="A34" s="13">
        <v>26</v>
      </c>
      <c r="B34" s="14" t="s">
        <v>139</v>
      </c>
      <c r="C34" s="406">
        <v>0</v>
      </c>
      <c r="D34" s="406">
        <v>139920</v>
      </c>
      <c r="E34" s="406">
        <f>SUM('- 49 -'!C34:G34,C34:D34)</f>
        <v>2931899</v>
      </c>
    </row>
    <row r="35" spans="1:5" ht="12.75">
      <c r="A35" s="11">
        <v>28</v>
      </c>
      <c r="B35" s="12" t="s">
        <v>140</v>
      </c>
      <c r="C35" s="405">
        <v>0</v>
      </c>
      <c r="D35" s="405">
        <v>106251</v>
      </c>
      <c r="E35" s="405">
        <f>SUM('- 49 -'!C35:G35,C35:D35)</f>
        <v>1066924</v>
      </c>
    </row>
    <row r="36" spans="1:5" ht="12.75">
      <c r="A36" s="13">
        <v>30</v>
      </c>
      <c r="B36" s="14" t="s">
        <v>141</v>
      </c>
      <c r="C36" s="406">
        <v>0</v>
      </c>
      <c r="D36" s="406">
        <v>285634</v>
      </c>
      <c r="E36" s="406">
        <f>SUM('- 49 -'!C36:G36,C36:D36)</f>
        <v>1452764</v>
      </c>
    </row>
    <row r="37" spans="1:5" ht="12.75">
      <c r="A37" s="11">
        <v>31</v>
      </c>
      <c r="B37" s="12" t="s">
        <v>142</v>
      </c>
      <c r="C37" s="405">
        <v>0</v>
      </c>
      <c r="D37" s="405">
        <v>80904</v>
      </c>
      <c r="E37" s="405">
        <f>SUM('- 49 -'!C37:G37,C37:D37)</f>
        <v>1385414</v>
      </c>
    </row>
    <row r="38" spans="1:5" ht="12.75">
      <c r="A38" s="13">
        <v>32</v>
      </c>
      <c r="B38" s="14" t="s">
        <v>143</v>
      </c>
      <c r="C38" s="406">
        <v>0</v>
      </c>
      <c r="D38" s="406">
        <v>296659</v>
      </c>
      <c r="E38" s="406">
        <f>SUM('- 49 -'!C38:G38,C38:D38)</f>
        <v>1492609</v>
      </c>
    </row>
    <row r="39" spans="1:5" ht="12.75">
      <c r="A39" s="11">
        <v>33</v>
      </c>
      <c r="B39" s="12" t="s">
        <v>144</v>
      </c>
      <c r="C39" s="405">
        <v>0</v>
      </c>
      <c r="D39" s="405">
        <v>39729</v>
      </c>
      <c r="E39" s="405">
        <f>SUM('- 49 -'!C39:G39,C39:D39)</f>
        <v>1051625</v>
      </c>
    </row>
    <row r="40" spans="1:5" ht="12.75">
      <c r="A40" s="13">
        <v>34</v>
      </c>
      <c r="B40" s="14" t="s">
        <v>145</v>
      </c>
      <c r="C40" s="406">
        <v>0</v>
      </c>
      <c r="D40" s="406">
        <v>31977</v>
      </c>
      <c r="E40" s="406">
        <f>SUM('- 49 -'!C40:G40,C40:D40)</f>
        <v>981117</v>
      </c>
    </row>
    <row r="41" spans="1:5" ht="12.75">
      <c r="A41" s="11">
        <v>35</v>
      </c>
      <c r="B41" s="12" t="s">
        <v>146</v>
      </c>
      <c r="C41" s="405">
        <v>0</v>
      </c>
      <c r="D41" s="405">
        <v>55993</v>
      </c>
      <c r="E41" s="405">
        <f>SUM('- 49 -'!C41:G41,C41:D41)</f>
        <v>957630</v>
      </c>
    </row>
    <row r="42" spans="1:5" ht="12.75">
      <c r="A42" s="13">
        <v>36</v>
      </c>
      <c r="B42" s="14" t="s">
        <v>147</v>
      </c>
      <c r="C42" s="406">
        <v>17152</v>
      </c>
      <c r="D42" s="406">
        <v>199779</v>
      </c>
      <c r="E42" s="406">
        <f>SUM('- 49 -'!C42:G42,C42:D42)</f>
        <v>1077502</v>
      </c>
    </row>
    <row r="43" spans="1:5" ht="12.75">
      <c r="A43" s="11">
        <v>37</v>
      </c>
      <c r="B43" s="12" t="s">
        <v>148</v>
      </c>
      <c r="C43" s="405">
        <v>80460</v>
      </c>
      <c r="D43" s="405">
        <v>0</v>
      </c>
      <c r="E43" s="405">
        <f>SUM('- 49 -'!C43:G43,C43:D43)</f>
        <v>1043856</v>
      </c>
    </row>
    <row r="44" spans="1:5" ht="12.75">
      <c r="A44" s="13">
        <v>38</v>
      </c>
      <c r="B44" s="14" t="s">
        <v>149</v>
      </c>
      <c r="C44" s="406">
        <v>11516</v>
      </c>
      <c r="D44" s="406">
        <v>62093</v>
      </c>
      <c r="E44" s="406">
        <f>SUM('- 49 -'!C44:G44,C44:D44)</f>
        <v>1568859</v>
      </c>
    </row>
    <row r="45" spans="1:5" ht="12.75">
      <c r="A45" s="11">
        <v>39</v>
      </c>
      <c r="B45" s="12" t="s">
        <v>150</v>
      </c>
      <c r="C45" s="405">
        <v>52938</v>
      </c>
      <c r="D45" s="405">
        <v>358741</v>
      </c>
      <c r="E45" s="405">
        <f>SUM('- 49 -'!C45:G45,C45:D45)</f>
        <v>2079037</v>
      </c>
    </row>
    <row r="46" spans="1:5" ht="12.75">
      <c r="A46" s="13">
        <v>40</v>
      </c>
      <c r="B46" s="14" t="s">
        <v>151</v>
      </c>
      <c r="C46" s="406">
        <v>0</v>
      </c>
      <c r="D46" s="406">
        <v>1666201</v>
      </c>
      <c r="E46" s="406">
        <f>SUM('- 49 -'!C46:G46,C46:D46)</f>
        <v>6404790</v>
      </c>
    </row>
    <row r="47" spans="1:5" ht="12.75">
      <c r="A47" s="11">
        <v>41</v>
      </c>
      <c r="B47" s="12" t="s">
        <v>152</v>
      </c>
      <c r="C47" s="405">
        <v>0</v>
      </c>
      <c r="D47" s="405">
        <v>739671</v>
      </c>
      <c r="E47" s="405">
        <f>SUM('- 49 -'!C47:G47,C47:D47)</f>
        <v>2992420</v>
      </c>
    </row>
    <row r="48" spans="1:5" ht="12.75">
      <c r="A48" s="13">
        <v>42</v>
      </c>
      <c r="B48" s="14" t="s">
        <v>153</v>
      </c>
      <c r="C48" s="406">
        <v>0</v>
      </c>
      <c r="D48" s="406">
        <v>106635</v>
      </c>
      <c r="E48" s="406">
        <f>SUM('- 49 -'!C48:G48,C48:D48)</f>
        <v>621353</v>
      </c>
    </row>
    <row r="49" spans="1:5" ht="12.75">
      <c r="A49" s="11">
        <v>43</v>
      </c>
      <c r="B49" s="12" t="s">
        <v>154</v>
      </c>
      <c r="C49" s="405">
        <v>0</v>
      </c>
      <c r="D49" s="405">
        <v>61374</v>
      </c>
      <c r="E49" s="405">
        <f>SUM('- 49 -'!C49:G49,C49:D49)</f>
        <v>1148212</v>
      </c>
    </row>
    <row r="50" spans="1:5" ht="12.75">
      <c r="A50" s="13">
        <v>44</v>
      </c>
      <c r="B50" s="14" t="s">
        <v>155</v>
      </c>
      <c r="C50" s="406">
        <v>0</v>
      </c>
      <c r="D50" s="406">
        <v>220031</v>
      </c>
      <c r="E50" s="406">
        <f>SUM('- 49 -'!C50:G50,C50:D50)</f>
        <v>1543941</v>
      </c>
    </row>
    <row r="51" spans="1:5" ht="12.75">
      <c r="A51" s="11">
        <v>45</v>
      </c>
      <c r="B51" s="12" t="s">
        <v>156</v>
      </c>
      <c r="C51" s="405">
        <v>0</v>
      </c>
      <c r="D51" s="405">
        <v>0</v>
      </c>
      <c r="E51" s="405">
        <f>SUM('- 49 -'!C51:G51,C51:D51)</f>
        <v>852353</v>
      </c>
    </row>
    <row r="52" spans="1:5" ht="12.75">
      <c r="A52" s="13">
        <v>46</v>
      </c>
      <c r="B52" s="14" t="s">
        <v>157</v>
      </c>
      <c r="C52" s="406">
        <v>28250</v>
      </c>
      <c r="D52" s="406">
        <v>110691</v>
      </c>
      <c r="E52" s="406">
        <f>SUM('- 49 -'!C52:G52,C52:D52)</f>
        <v>518043</v>
      </c>
    </row>
    <row r="53" spans="1:5" ht="12.75">
      <c r="A53" s="11">
        <v>47</v>
      </c>
      <c r="B53" s="12" t="s">
        <v>158</v>
      </c>
      <c r="C53" s="405">
        <v>0</v>
      </c>
      <c r="D53" s="405">
        <v>121064</v>
      </c>
      <c r="E53" s="405">
        <f>SUM('- 49 -'!C53:G53,C53:D53)</f>
        <v>1193182</v>
      </c>
    </row>
    <row r="54" spans="1:5" ht="12.75">
      <c r="A54" s="13">
        <v>48</v>
      </c>
      <c r="B54" s="14" t="s">
        <v>159</v>
      </c>
      <c r="C54" s="406">
        <v>0</v>
      </c>
      <c r="D54" s="406">
        <v>2804277</v>
      </c>
      <c r="E54" s="406">
        <f>SUM('- 49 -'!C54:G54,C54:D54)</f>
        <v>5261964</v>
      </c>
    </row>
    <row r="55" spans="1:5" ht="12.75">
      <c r="A55" s="11">
        <v>49</v>
      </c>
      <c r="B55" s="12" t="s">
        <v>160</v>
      </c>
      <c r="C55" s="405">
        <v>87000</v>
      </c>
      <c r="D55" s="405">
        <v>2820094</v>
      </c>
      <c r="E55" s="405">
        <f>SUM('- 49 -'!C55:G55,C55:D55)</f>
        <v>11554572</v>
      </c>
    </row>
    <row r="56" spans="1:5" ht="12.75">
      <c r="A56" s="13">
        <v>50</v>
      </c>
      <c r="B56" s="14" t="s">
        <v>343</v>
      </c>
      <c r="C56" s="406">
        <v>0</v>
      </c>
      <c r="D56" s="406">
        <v>214391</v>
      </c>
      <c r="E56" s="406">
        <f>SUM('- 49 -'!C56:G56,C56:D56)</f>
        <v>1485875</v>
      </c>
    </row>
    <row r="57" spans="1:5" ht="12.75">
      <c r="A57" s="11">
        <v>2264</v>
      </c>
      <c r="B57" s="12" t="s">
        <v>161</v>
      </c>
      <c r="C57" s="405">
        <v>0</v>
      </c>
      <c r="D57" s="405">
        <v>224342</v>
      </c>
      <c r="E57" s="405">
        <f>SUM('- 49 -'!C57:G57,C57:D57)</f>
        <v>305960</v>
      </c>
    </row>
    <row r="58" spans="1:5" ht="12.75">
      <c r="A58" s="13">
        <v>2309</v>
      </c>
      <c r="B58" s="14" t="s">
        <v>162</v>
      </c>
      <c r="C58" s="406">
        <v>0</v>
      </c>
      <c r="D58" s="406">
        <v>0</v>
      </c>
      <c r="E58" s="406">
        <f>SUM('- 49 -'!C58:G58,C58:D58)</f>
        <v>30460</v>
      </c>
    </row>
    <row r="59" spans="1:5" ht="12.75">
      <c r="A59" s="11">
        <v>2312</v>
      </c>
      <c r="B59" s="12" t="s">
        <v>163</v>
      </c>
      <c r="C59" s="405">
        <v>0</v>
      </c>
      <c r="D59" s="405">
        <v>0</v>
      </c>
      <c r="E59" s="405">
        <f>SUM('- 49 -'!C59:G59,C59:D59)</f>
        <v>19496</v>
      </c>
    </row>
    <row r="60" spans="1:5" ht="12.75">
      <c r="A60" s="13">
        <v>2355</v>
      </c>
      <c r="B60" s="14" t="s">
        <v>164</v>
      </c>
      <c r="C60" s="406">
        <v>0</v>
      </c>
      <c r="D60" s="406">
        <v>230388</v>
      </c>
      <c r="E60" s="406">
        <f>SUM('- 49 -'!C60:G60,C60:D60)</f>
        <v>3115404</v>
      </c>
    </row>
    <row r="61" spans="1:5" ht="12.75">
      <c r="A61" s="11">
        <v>2439</v>
      </c>
      <c r="B61" s="12" t="s">
        <v>165</v>
      </c>
      <c r="C61" s="405">
        <v>0</v>
      </c>
      <c r="D61" s="405">
        <v>68594.44</v>
      </c>
      <c r="E61" s="405">
        <f>SUM('- 49 -'!C61:G61,C61:D61)</f>
        <v>166417.65</v>
      </c>
    </row>
    <row r="62" spans="1:5" ht="12.75">
      <c r="A62" s="13">
        <v>2460</v>
      </c>
      <c r="B62" s="14" t="s">
        <v>166</v>
      </c>
      <c r="C62" s="406">
        <v>0</v>
      </c>
      <c r="D62" s="406">
        <v>0</v>
      </c>
      <c r="E62" s="406">
        <f>SUM('- 49 -'!C62:G62,C62:D62)</f>
        <v>829220</v>
      </c>
    </row>
    <row r="63" spans="1:5" ht="12.75">
      <c r="A63" s="11">
        <v>3000</v>
      </c>
      <c r="B63" s="12" t="s">
        <v>366</v>
      </c>
      <c r="C63" s="405">
        <v>0</v>
      </c>
      <c r="D63" s="405">
        <v>0</v>
      </c>
      <c r="E63" s="405">
        <f>SUM('- 49 -'!C63:G63,C63:D63)</f>
        <v>791930</v>
      </c>
    </row>
    <row r="64" spans="1:5" ht="4.5" customHeight="1">
      <c r="A64" s="15"/>
      <c r="B64" s="15"/>
      <c r="C64" s="412"/>
      <c r="D64" s="412"/>
      <c r="E64" s="412"/>
    </row>
    <row r="65" spans="1:5" ht="12.75">
      <c r="A65" s="17"/>
      <c r="B65" s="18" t="s">
        <v>167</v>
      </c>
      <c r="C65" s="407">
        <f>SUM(C11:C63)</f>
        <v>428848</v>
      </c>
      <c r="D65" s="407">
        <f>SUM(D11:D63)</f>
        <v>38604950.01</v>
      </c>
      <c r="E65" s="407">
        <f>SUM(E11:E63)</f>
        <v>167627911.33</v>
      </c>
    </row>
    <row r="66" spans="1:5" ht="4.5" customHeight="1">
      <c r="A66" s="15"/>
      <c r="B66" s="15"/>
      <c r="C66" s="412"/>
      <c r="D66" s="412"/>
      <c r="E66" s="412"/>
    </row>
    <row r="67" spans="1:5" ht="12.75">
      <c r="A67" s="13">
        <v>2155</v>
      </c>
      <c r="B67" s="14" t="s">
        <v>168</v>
      </c>
      <c r="C67" s="406">
        <v>0</v>
      </c>
      <c r="D67" s="406">
        <v>0</v>
      </c>
      <c r="E67" s="406">
        <f>SUM('- 49 -'!C67:G67,C67:D67)</f>
        <v>0</v>
      </c>
    </row>
    <row r="68" spans="1:5" ht="12.75">
      <c r="A68" s="11">
        <v>2408</v>
      </c>
      <c r="B68" s="12" t="s">
        <v>170</v>
      </c>
      <c r="C68" s="405">
        <v>0</v>
      </c>
      <c r="D68" s="405">
        <v>62041</v>
      </c>
      <c r="E68" s="405">
        <f>SUM('- 49 -'!C68:G68,C68:D68)</f>
        <v>840706</v>
      </c>
    </row>
    <row r="69" ht="6.75" customHeight="1"/>
    <row r="70" spans="1:6" ht="12" customHeight="1">
      <c r="A70" s="4"/>
      <c r="B70" s="4"/>
      <c r="C70" s="15"/>
      <c r="D70" s="15"/>
      <c r="E70" s="15"/>
      <c r="F70" s="15"/>
    </row>
    <row r="71" spans="1:6" ht="12" customHeight="1">
      <c r="A71" s="4"/>
      <c r="B71" s="4"/>
      <c r="C71" s="15"/>
      <c r="D71" s="15"/>
      <c r="E71" s="15"/>
      <c r="F71" s="15"/>
    </row>
    <row r="72" spans="1:6" ht="12" customHeight="1">
      <c r="A72" s="4"/>
      <c r="B72" s="4"/>
      <c r="C72" s="15"/>
      <c r="D72" s="15"/>
      <c r="E72" s="15"/>
      <c r="F72" s="15"/>
    </row>
    <row r="73" spans="1:6" ht="12" customHeight="1">
      <c r="A73" s="4"/>
      <c r="B73" s="4"/>
      <c r="C73" s="15"/>
      <c r="D73" s="15"/>
      <c r="E73" s="15"/>
      <c r="F73" s="15"/>
    </row>
    <row r="74" spans="1:6" ht="12" customHeight="1">
      <c r="A74" s="4"/>
      <c r="B74" s="4"/>
      <c r="C74" s="15"/>
      <c r="D74" s="15"/>
      <c r="E74" s="15"/>
      <c r="F74" s="15"/>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2">
    <pageSetUpPr fitToPage="1"/>
  </sheetPr>
  <dimension ref="A1:K75"/>
  <sheetViews>
    <sheetView showGridLines="0" showZeros="0" workbookViewId="0" topLeftCell="A1">
      <selection activeCell="A1" sqref="A1"/>
    </sheetView>
  </sheetViews>
  <sheetFormatPr defaultColWidth="15.83203125" defaultRowHeight="12"/>
  <cols>
    <col min="1" max="1" width="6.83203125" style="79" customWidth="1"/>
    <col min="2" max="2" width="31.83203125" style="79" customWidth="1"/>
    <col min="3" max="3" width="17.83203125" style="79" customWidth="1"/>
    <col min="4" max="5" width="16.83203125" style="79" customWidth="1"/>
    <col min="6" max="6" width="17.83203125" style="79" customWidth="1"/>
    <col min="7" max="16384" width="15.83203125" style="79" customWidth="1"/>
  </cols>
  <sheetData>
    <row r="1" spans="1:2" ht="6.75" customHeight="1">
      <c r="A1" s="15"/>
      <c r="B1" s="77"/>
    </row>
    <row r="2" spans="1:8" ht="12.75">
      <c r="A2" s="9"/>
      <c r="B2" s="103"/>
      <c r="C2" s="104" t="s">
        <v>172</v>
      </c>
      <c r="D2" s="104"/>
      <c r="E2" s="104"/>
      <c r="F2" s="104"/>
      <c r="G2" s="282"/>
      <c r="H2" s="282"/>
    </row>
    <row r="3" spans="1:8" ht="12.75">
      <c r="A3" s="10"/>
      <c r="B3" s="106"/>
      <c r="C3" s="376" t="str">
        <f>"FOR THE "&amp;REPLACE(REPLACE(YEAR,1,22,""),5,5,"")&amp;" TAXATION YEAR"</f>
        <v>FOR THE 2001 TAXATION YEAR</v>
      </c>
      <c r="D3" s="2"/>
      <c r="E3" s="168"/>
      <c r="F3" s="149"/>
      <c r="G3" s="312"/>
      <c r="H3" s="312"/>
    </row>
    <row r="4" spans="1:8" ht="12.75">
      <c r="A4" s="362"/>
      <c r="B4" s="362"/>
      <c r="C4" s="139"/>
      <c r="D4" s="139"/>
      <c r="E4" s="150"/>
      <c r="F4" s="150"/>
      <c r="G4" s="150"/>
      <c r="H4" s="139"/>
    </row>
    <row r="5" spans="1:8" ht="12.75">
      <c r="A5" s="8"/>
      <c r="B5" s="79">
        <f>REPLACE(B4,5,5,"")</f>
      </c>
      <c r="C5" s="54"/>
      <c r="D5" s="139"/>
      <c r="E5" s="139"/>
      <c r="F5" s="139"/>
      <c r="G5" s="139"/>
      <c r="H5" s="139"/>
    </row>
    <row r="6" spans="1:8" ht="16.5">
      <c r="A6" s="8"/>
      <c r="C6" s="151" t="s">
        <v>183</v>
      </c>
      <c r="D6" s="152"/>
      <c r="E6" s="152"/>
      <c r="F6" s="151" t="s">
        <v>411</v>
      </c>
      <c r="G6" s="152"/>
      <c r="H6" s="153"/>
    </row>
    <row r="7" spans="1:8" ht="12.75">
      <c r="A7" s="15"/>
      <c r="C7" s="154" t="s">
        <v>198</v>
      </c>
      <c r="D7" s="155"/>
      <c r="E7" s="140"/>
      <c r="F7" s="140" t="s">
        <v>198</v>
      </c>
      <c r="G7" s="141"/>
      <c r="H7" s="140"/>
    </row>
    <row r="8" spans="1:8" ht="12.75">
      <c r="A8" s="91"/>
      <c r="B8" s="43"/>
      <c r="C8" s="157" t="s">
        <v>227</v>
      </c>
      <c r="D8" s="169"/>
      <c r="E8" s="142"/>
      <c r="F8" s="142" t="s">
        <v>227</v>
      </c>
      <c r="G8" s="143"/>
      <c r="H8" s="142"/>
    </row>
    <row r="9" spans="1:11" ht="12.75">
      <c r="A9" s="49" t="s">
        <v>101</v>
      </c>
      <c r="B9" s="50" t="s">
        <v>102</v>
      </c>
      <c r="C9" s="160" t="s">
        <v>243</v>
      </c>
      <c r="D9" s="160" t="s">
        <v>244</v>
      </c>
      <c r="E9" s="144" t="s">
        <v>70</v>
      </c>
      <c r="F9" s="144" t="s">
        <v>243</v>
      </c>
      <c r="G9" s="144" t="s">
        <v>58</v>
      </c>
      <c r="H9" s="144" t="s">
        <v>70</v>
      </c>
      <c r="J9" s="334">
        <v>0.00792</v>
      </c>
      <c r="K9" s="334">
        <v>0.01806</v>
      </c>
    </row>
    <row r="10" spans="1:8" ht="4.5" customHeight="1">
      <c r="A10" s="74"/>
      <c r="B10" s="74"/>
      <c r="C10" s="145"/>
      <c r="D10" s="145"/>
      <c r="E10" s="145"/>
      <c r="H10" s="145"/>
    </row>
    <row r="11" spans="1:8" ht="12.75">
      <c r="A11" s="11">
        <v>1</v>
      </c>
      <c r="B11" s="12" t="s">
        <v>116</v>
      </c>
      <c r="C11" s="12">
        <f>'- 53 -'!C11</f>
        <v>1926128330</v>
      </c>
      <c r="D11" s="12">
        <f>'- 53 -'!E11</f>
        <v>1719480270</v>
      </c>
      <c r="E11" s="12">
        <f>SUM(C11:D11)</f>
        <v>3645608600</v>
      </c>
      <c r="F11" s="12">
        <f>C11*J$9</f>
        <v>15254936.3736</v>
      </c>
      <c r="G11" s="12">
        <f>D11*K$9</f>
        <v>31053813.6762</v>
      </c>
      <c r="H11" s="12">
        <f>SUM(F11:G11)</f>
        <v>46308750.0498</v>
      </c>
    </row>
    <row r="12" spans="1:8" ht="12.75">
      <c r="A12" s="13">
        <v>2</v>
      </c>
      <c r="B12" s="14" t="s">
        <v>117</v>
      </c>
      <c r="C12" s="14">
        <f>'- 53 -'!C12</f>
        <v>839121300</v>
      </c>
      <c r="D12" s="14">
        <f>'- 53 -'!E12</f>
        <v>556861100</v>
      </c>
      <c r="E12" s="14">
        <f aca="true" t="shared" si="0" ref="E12:E62">SUM(C12:D12)</f>
        <v>1395982400</v>
      </c>
      <c r="F12" s="14">
        <f aca="true" t="shared" si="1" ref="F12:F62">C12*J$9</f>
        <v>6645840.6959999995</v>
      </c>
      <c r="G12" s="14">
        <f aca="true" t="shared" si="2" ref="G12:G62">D12*K$9</f>
        <v>10056911.466</v>
      </c>
      <c r="H12" s="14">
        <f aca="true" t="shared" si="3" ref="H12:H62">SUM(F12:G12)</f>
        <v>16702752.162</v>
      </c>
    </row>
    <row r="13" spans="1:8" ht="12.75">
      <c r="A13" s="11">
        <v>3</v>
      </c>
      <c r="B13" s="12" t="s">
        <v>118</v>
      </c>
      <c r="C13" s="12">
        <f>'- 53 -'!C13</f>
        <v>842744860</v>
      </c>
      <c r="D13" s="12">
        <f>'- 53 -'!E13</f>
        <v>109715090</v>
      </c>
      <c r="E13" s="12">
        <f t="shared" si="0"/>
        <v>952459950</v>
      </c>
      <c r="F13" s="12">
        <f t="shared" si="1"/>
        <v>6674539.2912</v>
      </c>
      <c r="G13" s="12">
        <f t="shared" si="2"/>
        <v>1981454.5254</v>
      </c>
      <c r="H13" s="12">
        <f t="shared" si="3"/>
        <v>8655993.8166</v>
      </c>
    </row>
    <row r="14" spans="1:8" ht="12.75">
      <c r="A14" s="13">
        <v>4</v>
      </c>
      <c r="B14" s="14" t="s">
        <v>119</v>
      </c>
      <c r="C14" s="14">
        <f>'- 53 -'!C14</f>
        <v>621928120</v>
      </c>
      <c r="D14" s="14">
        <f>'- 53 -'!E14</f>
        <v>273194040</v>
      </c>
      <c r="E14" s="14">
        <f t="shared" si="0"/>
        <v>895122160</v>
      </c>
      <c r="F14" s="14">
        <f t="shared" si="1"/>
        <v>4925670.7104</v>
      </c>
      <c r="G14" s="14">
        <f t="shared" si="2"/>
        <v>4933884.3624</v>
      </c>
      <c r="H14" s="14">
        <f t="shared" si="3"/>
        <v>9859555.0728</v>
      </c>
    </row>
    <row r="15" spans="1:8" ht="12.75">
      <c r="A15" s="11">
        <v>5</v>
      </c>
      <c r="B15" s="12" t="s">
        <v>120</v>
      </c>
      <c r="C15" s="12">
        <f>'- 53 -'!C15</f>
        <v>682400920</v>
      </c>
      <c r="D15" s="12">
        <f>'- 53 -'!E15</f>
        <v>409148770</v>
      </c>
      <c r="E15" s="12">
        <f t="shared" si="0"/>
        <v>1091549690</v>
      </c>
      <c r="F15" s="12">
        <f t="shared" si="1"/>
        <v>5404615.2864</v>
      </c>
      <c r="G15" s="12">
        <f t="shared" si="2"/>
        <v>7389226.7862</v>
      </c>
      <c r="H15" s="12">
        <f t="shared" si="3"/>
        <v>12793842.0726</v>
      </c>
    </row>
    <row r="16" spans="1:8" ht="12.75">
      <c r="A16" s="13">
        <v>6</v>
      </c>
      <c r="B16" s="14" t="s">
        <v>121</v>
      </c>
      <c r="C16" s="14">
        <f>'- 53 -'!C16</f>
        <v>828361920</v>
      </c>
      <c r="D16" s="14">
        <f>'- 53 -'!E16</f>
        <v>168053070</v>
      </c>
      <c r="E16" s="14">
        <f t="shared" si="0"/>
        <v>996414990</v>
      </c>
      <c r="F16" s="14">
        <f t="shared" si="1"/>
        <v>6560626.4064</v>
      </c>
      <c r="G16" s="14">
        <f t="shared" si="2"/>
        <v>3035038.4442</v>
      </c>
      <c r="H16" s="14">
        <f t="shared" si="3"/>
        <v>9595664.8506</v>
      </c>
    </row>
    <row r="17" spans="1:8" ht="12.75">
      <c r="A17" s="11">
        <v>9</v>
      </c>
      <c r="B17" s="12" t="s">
        <v>122</v>
      </c>
      <c r="C17" s="12">
        <f>'- 53 -'!C17</f>
        <v>1088372770</v>
      </c>
      <c r="D17" s="12">
        <f>'- 53 -'!E17</f>
        <v>151129360</v>
      </c>
      <c r="E17" s="12">
        <f t="shared" si="0"/>
        <v>1239502130</v>
      </c>
      <c r="F17" s="12">
        <f t="shared" si="1"/>
        <v>8619912.3384</v>
      </c>
      <c r="G17" s="12">
        <f t="shared" si="2"/>
        <v>2729396.2416</v>
      </c>
      <c r="H17" s="12">
        <f t="shared" si="3"/>
        <v>11349308.58</v>
      </c>
    </row>
    <row r="18" spans="1:8" ht="12.75">
      <c r="A18" s="13">
        <v>10</v>
      </c>
      <c r="B18" s="14" t="s">
        <v>123</v>
      </c>
      <c r="C18" s="14">
        <f>'- 53 -'!C18</f>
        <v>724804620</v>
      </c>
      <c r="D18" s="14">
        <f>'- 53 -'!E18</f>
        <v>134752790</v>
      </c>
      <c r="E18" s="14">
        <f t="shared" si="0"/>
        <v>859557410</v>
      </c>
      <c r="F18" s="14">
        <f t="shared" si="1"/>
        <v>5740452.5904</v>
      </c>
      <c r="G18" s="14">
        <f t="shared" si="2"/>
        <v>2433635.3874</v>
      </c>
      <c r="H18" s="14">
        <f t="shared" si="3"/>
        <v>8174087.9778</v>
      </c>
    </row>
    <row r="19" spans="1:8" ht="12.75">
      <c r="A19" s="11">
        <v>11</v>
      </c>
      <c r="B19" s="12" t="s">
        <v>124</v>
      </c>
      <c r="C19" s="12">
        <f>'- 53 -'!C19</f>
        <v>483272440</v>
      </c>
      <c r="D19" s="12">
        <f>'- 53 -'!E19</f>
        <v>100415220</v>
      </c>
      <c r="E19" s="12">
        <f t="shared" si="0"/>
        <v>583687660</v>
      </c>
      <c r="F19" s="12">
        <f t="shared" si="1"/>
        <v>3827517.7248</v>
      </c>
      <c r="G19" s="12">
        <f t="shared" si="2"/>
        <v>1813498.8732</v>
      </c>
      <c r="H19" s="12">
        <f t="shared" si="3"/>
        <v>5641016.598</v>
      </c>
    </row>
    <row r="20" spans="1:8" ht="12.75">
      <c r="A20" s="13">
        <v>12</v>
      </c>
      <c r="B20" s="14" t="s">
        <v>125</v>
      </c>
      <c r="C20" s="14">
        <f>'- 53 -'!C20</f>
        <v>546546510</v>
      </c>
      <c r="D20" s="14">
        <f>'- 53 -'!E20</f>
        <v>285389110</v>
      </c>
      <c r="E20" s="14">
        <f t="shared" si="0"/>
        <v>831935620</v>
      </c>
      <c r="F20" s="14">
        <f t="shared" si="1"/>
        <v>4328648.3592</v>
      </c>
      <c r="G20" s="14">
        <f t="shared" si="2"/>
        <v>5154127.3266</v>
      </c>
      <c r="H20" s="14">
        <f t="shared" si="3"/>
        <v>9482775.685800001</v>
      </c>
    </row>
    <row r="21" spans="1:8" ht="12.75">
      <c r="A21" s="11">
        <v>13</v>
      </c>
      <c r="B21" s="12" t="s">
        <v>126</v>
      </c>
      <c r="C21" s="12">
        <f>'- 53 -'!C21</f>
        <v>244243410</v>
      </c>
      <c r="D21" s="12">
        <f>'- 53 -'!E21</f>
        <v>73886800</v>
      </c>
      <c r="E21" s="12">
        <f t="shared" si="0"/>
        <v>318130210</v>
      </c>
      <c r="F21" s="12">
        <f t="shared" si="1"/>
        <v>1934407.8072</v>
      </c>
      <c r="G21" s="12">
        <f t="shared" si="2"/>
        <v>1334395.608</v>
      </c>
      <c r="H21" s="12">
        <f t="shared" si="3"/>
        <v>3268803.4151999997</v>
      </c>
    </row>
    <row r="22" spans="1:8" ht="12.75">
      <c r="A22" s="13">
        <v>14</v>
      </c>
      <c r="B22" s="14" t="s">
        <v>127</v>
      </c>
      <c r="C22" s="14">
        <f>'- 53 -'!C22</f>
        <v>307268400</v>
      </c>
      <c r="D22" s="14">
        <f>'- 53 -'!E22</f>
        <v>70262560</v>
      </c>
      <c r="E22" s="14">
        <f t="shared" si="0"/>
        <v>377530960</v>
      </c>
      <c r="F22" s="14">
        <f t="shared" si="1"/>
        <v>2433565.728</v>
      </c>
      <c r="G22" s="14">
        <f t="shared" si="2"/>
        <v>1268941.8336</v>
      </c>
      <c r="H22" s="14">
        <f t="shared" si="3"/>
        <v>3702507.5616</v>
      </c>
    </row>
    <row r="23" spans="1:8" ht="12.75">
      <c r="A23" s="11">
        <v>15</v>
      </c>
      <c r="B23" s="12" t="s">
        <v>128</v>
      </c>
      <c r="C23" s="12">
        <f>'- 53 -'!C23</f>
        <v>289971010</v>
      </c>
      <c r="D23" s="12">
        <f>'- 53 -'!E23</f>
        <v>126412350</v>
      </c>
      <c r="E23" s="12">
        <f t="shared" si="0"/>
        <v>416383360</v>
      </c>
      <c r="F23" s="12">
        <f t="shared" si="1"/>
        <v>2296570.3992</v>
      </c>
      <c r="G23" s="12">
        <f t="shared" si="2"/>
        <v>2283007.0409999997</v>
      </c>
      <c r="H23" s="12">
        <f t="shared" si="3"/>
        <v>4579577.440199999</v>
      </c>
    </row>
    <row r="24" spans="1:8" ht="12.75">
      <c r="A24" s="13">
        <v>16</v>
      </c>
      <c r="B24" s="14" t="s">
        <v>129</v>
      </c>
      <c r="C24" s="14">
        <f>'- 53 -'!C24</f>
        <v>33402410</v>
      </c>
      <c r="D24" s="14">
        <f>'- 53 -'!E24</f>
        <v>23006310</v>
      </c>
      <c r="E24" s="14">
        <f t="shared" si="0"/>
        <v>56408720</v>
      </c>
      <c r="F24" s="14">
        <f t="shared" si="1"/>
        <v>264547.0872</v>
      </c>
      <c r="G24" s="14">
        <f t="shared" si="2"/>
        <v>415493.9586</v>
      </c>
      <c r="H24" s="14">
        <f t="shared" si="3"/>
        <v>680041.0458</v>
      </c>
    </row>
    <row r="25" spans="1:8" ht="12.75">
      <c r="A25" s="11">
        <v>17</v>
      </c>
      <c r="B25" s="12" t="s">
        <v>130</v>
      </c>
      <c r="C25" s="12">
        <f>'- 53 -'!C25</f>
        <v>48649910</v>
      </c>
      <c r="D25" s="12">
        <f>'- 53 -'!E25</f>
        <v>31911260</v>
      </c>
      <c r="E25" s="12">
        <f t="shared" si="0"/>
        <v>80561170</v>
      </c>
      <c r="F25" s="12">
        <f t="shared" si="1"/>
        <v>385307.2872</v>
      </c>
      <c r="G25" s="12">
        <f t="shared" si="2"/>
        <v>576317.3556</v>
      </c>
      <c r="H25" s="12">
        <f t="shared" si="3"/>
        <v>961624.6428</v>
      </c>
    </row>
    <row r="26" spans="1:8" ht="12.75">
      <c r="A26" s="13">
        <v>18</v>
      </c>
      <c r="B26" s="14" t="s">
        <v>131</v>
      </c>
      <c r="C26" s="14">
        <f>'- 53 -'!C26</f>
        <v>66718350</v>
      </c>
      <c r="D26" s="14">
        <f>'- 53 -'!E26</f>
        <v>37825970</v>
      </c>
      <c r="E26" s="14">
        <f t="shared" si="0"/>
        <v>104544320</v>
      </c>
      <c r="F26" s="14">
        <f t="shared" si="1"/>
        <v>528409.332</v>
      </c>
      <c r="G26" s="14">
        <f t="shared" si="2"/>
        <v>683137.0181999999</v>
      </c>
      <c r="H26" s="14">
        <f t="shared" si="3"/>
        <v>1211546.3502</v>
      </c>
    </row>
    <row r="27" spans="1:8" ht="12.75">
      <c r="A27" s="11">
        <v>19</v>
      </c>
      <c r="B27" s="12" t="s">
        <v>132</v>
      </c>
      <c r="C27" s="12">
        <f>'- 53 -'!C27</f>
        <v>88492860</v>
      </c>
      <c r="D27" s="12">
        <f>'- 53 -'!E27</f>
        <v>63624650</v>
      </c>
      <c r="E27" s="12">
        <f t="shared" si="0"/>
        <v>152117510</v>
      </c>
      <c r="F27" s="12">
        <f t="shared" si="1"/>
        <v>700863.4512</v>
      </c>
      <c r="G27" s="12">
        <f t="shared" si="2"/>
        <v>1149061.179</v>
      </c>
      <c r="H27" s="12">
        <f t="shared" si="3"/>
        <v>1849924.6302</v>
      </c>
    </row>
    <row r="28" spans="1:8" ht="12.75">
      <c r="A28" s="13">
        <v>20</v>
      </c>
      <c r="B28" s="14" t="s">
        <v>133</v>
      </c>
      <c r="C28" s="14">
        <f>'- 53 -'!C28</f>
        <v>70454280</v>
      </c>
      <c r="D28" s="14">
        <f>'- 53 -'!E28</f>
        <v>36481770</v>
      </c>
      <c r="E28" s="14">
        <f t="shared" si="0"/>
        <v>106936050</v>
      </c>
      <c r="F28" s="14">
        <f t="shared" si="1"/>
        <v>557997.8976</v>
      </c>
      <c r="G28" s="14">
        <f t="shared" si="2"/>
        <v>658860.7662</v>
      </c>
      <c r="H28" s="14">
        <f t="shared" si="3"/>
        <v>1216858.6638</v>
      </c>
    </row>
    <row r="29" spans="1:8" ht="12.75">
      <c r="A29" s="11">
        <v>21</v>
      </c>
      <c r="B29" s="12" t="s">
        <v>134</v>
      </c>
      <c r="C29" s="12">
        <f>'- 53 -'!C29</f>
        <v>217640970</v>
      </c>
      <c r="D29" s="12">
        <f>'- 53 -'!E29</f>
        <v>78118090</v>
      </c>
      <c r="E29" s="12">
        <f t="shared" si="0"/>
        <v>295759060</v>
      </c>
      <c r="F29" s="12">
        <f t="shared" si="1"/>
        <v>1723716.4824</v>
      </c>
      <c r="G29" s="12">
        <f t="shared" si="2"/>
        <v>1410812.7053999999</v>
      </c>
      <c r="H29" s="12">
        <f t="shared" si="3"/>
        <v>3134529.1878</v>
      </c>
    </row>
    <row r="30" spans="1:8" ht="12.75">
      <c r="A30" s="13">
        <v>22</v>
      </c>
      <c r="B30" s="14" t="s">
        <v>135</v>
      </c>
      <c r="C30" s="14">
        <f>'- 53 -'!C30</f>
        <v>209170930</v>
      </c>
      <c r="D30" s="14">
        <f>'- 53 -'!E30</f>
        <v>59237670</v>
      </c>
      <c r="E30" s="14">
        <f t="shared" si="0"/>
        <v>268408600</v>
      </c>
      <c r="F30" s="14">
        <f t="shared" si="1"/>
        <v>1656633.7656</v>
      </c>
      <c r="G30" s="14">
        <f t="shared" si="2"/>
        <v>1069832.3202</v>
      </c>
      <c r="H30" s="14">
        <f t="shared" si="3"/>
        <v>2726466.0858</v>
      </c>
    </row>
    <row r="31" spans="1:8" ht="12.75">
      <c r="A31" s="11">
        <v>23</v>
      </c>
      <c r="B31" s="12" t="s">
        <v>136</v>
      </c>
      <c r="C31" s="12">
        <f>'- 53 -'!C31</f>
        <v>57149150</v>
      </c>
      <c r="D31" s="12">
        <f>'- 53 -'!E31</f>
        <v>17466990</v>
      </c>
      <c r="E31" s="12">
        <f t="shared" si="0"/>
        <v>74616140</v>
      </c>
      <c r="F31" s="12">
        <f t="shared" si="1"/>
        <v>452621.268</v>
      </c>
      <c r="G31" s="12">
        <f t="shared" si="2"/>
        <v>315453.8394</v>
      </c>
      <c r="H31" s="12">
        <f t="shared" si="3"/>
        <v>768075.1074</v>
      </c>
    </row>
    <row r="32" spans="1:8" ht="12.75">
      <c r="A32" s="13">
        <v>24</v>
      </c>
      <c r="B32" s="14" t="s">
        <v>137</v>
      </c>
      <c r="C32" s="14">
        <f>'- 53 -'!C32</f>
        <v>203475740</v>
      </c>
      <c r="D32" s="14">
        <f>'- 53 -'!E32</f>
        <v>144928200</v>
      </c>
      <c r="E32" s="14">
        <f t="shared" si="0"/>
        <v>348403940</v>
      </c>
      <c r="F32" s="14">
        <f t="shared" si="1"/>
        <v>1611527.8608</v>
      </c>
      <c r="G32" s="14">
        <f t="shared" si="2"/>
        <v>2617403.292</v>
      </c>
      <c r="H32" s="14">
        <f t="shared" si="3"/>
        <v>4228931.152799999</v>
      </c>
    </row>
    <row r="33" spans="1:8" ht="12.75">
      <c r="A33" s="11">
        <v>25</v>
      </c>
      <c r="B33" s="12" t="s">
        <v>138</v>
      </c>
      <c r="C33" s="12">
        <f>'- 53 -'!C33</f>
        <v>75774680</v>
      </c>
      <c r="D33" s="12">
        <f>'- 53 -'!E33</f>
        <v>22704140</v>
      </c>
      <c r="E33" s="12">
        <f t="shared" si="0"/>
        <v>98478820</v>
      </c>
      <c r="F33" s="12">
        <f t="shared" si="1"/>
        <v>600135.4656</v>
      </c>
      <c r="G33" s="12">
        <f t="shared" si="2"/>
        <v>410036.7684</v>
      </c>
      <c r="H33" s="12">
        <f t="shared" si="3"/>
        <v>1010172.2339999999</v>
      </c>
    </row>
    <row r="34" spans="1:8" ht="12.75">
      <c r="A34" s="13">
        <v>26</v>
      </c>
      <c r="B34" s="14" t="s">
        <v>139</v>
      </c>
      <c r="C34" s="14">
        <f>'- 53 -'!C34</f>
        <v>130234890</v>
      </c>
      <c r="D34" s="14">
        <f>'- 53 -'!E34</f>
        <v>62984820</v>
      </c>
      <c r="E34" s="14">
        <f t="shared" si="0"/>
        <v>193219710</v>
      </c>
      <c r="F34" s="14">
        <f t="shared" si="1"/>
        <v>1031460.3288</v>
      </c>
      <c r="G34" s="14">
        <f t="shared" si="2"/>
        <v>1137505.8492</v>
      </c>
      <c r="H34" s="14">
        <f t="shared" si="3"/>
        <v>2168966.1780000003</v>
      </c>
    </row>
    <row r="35" spans="1:8" ht="12.75">
      <c r="A35" s="11">
        <v>28</v>
      </c>
      <c r="B35" s="12" t="s">
        <v>140</v>
      </c>
      <c r="C35" s="12">
        <f>'- 53 -'!C35</f>
        <v>31525300</v>
      </c>
      <c r="D35" s="12">
        <f>'- 53 -'!E35</f>
        <v>21397990</v>
      </c>
      <c r="E35" s="12">
        <f t="shared" si="0"/>
        <v>52923290</v>
      </c>
      <c r="F35" s="12">
        <f t="shared" si="1"/>
        <v>249680.376</v>
      </c>
      <c r="G35" s="12">
        <f t="shared" si="2"/>
        <v>386447.6994</v>
      </c>
      <c r="H35" s="12">
        <f t="shared" si="3"/>
        <v>636128.0754</v>
      </c>
    </row>
    <row r="36" spans="1:8" ht="12.75">
      <c r="A36" s="13">
        <v>30</v>
      </c>
      <c r="B36" s="14" t="s">
        <v>141</v>
      </c>
      <c r="C36" s="14">
        <f>'- 53 -'!C36</f>
        <v>45154130</v>
      </c>
      <c r="D36" s="14">
        <f>'- 53 -'!E36</f>
        <v>43226180</v>
      </c>
      <c r="E36" s="14">
        <f t="shared" si="0"/>
        <v>88380310</v>
      </c>
      <c r="F36" s="14">
        <f t="shared" si="1"/>
        <v>357620.7096</v>
      </c>
      <c r="G36" s="14">
        <f t="shared" si="2"/>
        <v>780664.8108</v>
      </c>
      <c r="H36" s="14">
        <f t="shared" si="3"/>
        <v>1138285.5204</v>
      </c>
    </row>
    <row r="37" spans="1:8" ht="12.75">
      <c r="A37" s="11">
        <v>31</v>
      </c>
      <c r="B37" s="12" t="s">
        <v>142</v>
      </c>
      <c r="C37" s="12">
        <f>'- 53 -'!C37</f>
        <v>77327520</v>
      </c>
      <c r="D37" s="12">
        <f>'- 53 -'!E37</f>
        <v>70286690</v>
      </c>
      <c r="E37" s="12">
        <f t="shared" si="0"/>
        <v>147614210</v>
      </c>
      <c r="F37" s="12">
        <f t="shared" si="1"/>
        <v>612433.9584</v>
      </c>
      <c r="G37" s="12">
        <f t="shared" si="2"/>
        <v>1269377.6214</v>
      </c>
      <c r="H37" s="12">
        <f t="shared" si="3"/>
        <v>1881811.5798</v>
      </c>
    </row>
    <row r="38" spans="1:8" ht="12.75">
      <c r="A38" s="13">
        <v>32</v>
      </c>
      <c r="B38" s="14" t="s">
        <v>143</v>
      </c>
      <c r="C38" s="14">
        <f>'- 53 -'!C38</f>
        <v>34428760</v>
      </c>
      <c r="D38" s="14">
        <f>'- 53 -'!E38</f>
        <v>9617990</v>
      </c>
      <c r="E38" s="14">
        <f t="shared" si="0"/>
        <v>44046750</v>
      </c>
      <c r="F38" s="14">
        <f t="shared" si="1"/>
        <v>272675.7792</v>
      </c>
      <c r="G38" s="14">
        <f t="shared" si="2"/>
        <v>173700.8994</v>
      </c>
      <c r="H38" s="14">
        <f t="shared" si="3"/>
        <v>446376.6786</v>
      </c>
    </row>
    <row r="39" spans="1:8" ht="12.75">
      <c r="A39" s="11">
        <v>33</v>
      </c>
      <c r="B39" s="12" t="s">
        <v>144</v>
      </c>
      <c r="C39" s="12">
        <f>'- 53 -'!C39</f>
        <v>108448940</v>
      </c>
      <c r="D39" s="12">
        <f>'- 53 -'!E39</f>
        <v>44208160</v>
      </c>
      <c r="E39" s="12">
        <f t="shared" si="0"/>
        <v>152657100</v>
      </c>
      <c r="F39" s="12">
        <f t="shared" si="1"/>
        <v>858915.6048</v>
      </c>
      <c r="G39" s="12">
        <f t="shared" si="2"/>
        <v>798399.3696</v>
      </c>
      <c r="H39" s="12">
        <f t="shared" si="3"/>
        <v>1657314.9744</v>
      </c>
    </row>
    <row r="40" spans="1:8" ht="12.75">
      <c r="A40" s="13">
        <v>34</v>
      </c>
      <c r="B40" s="14" t="s">
        <v>145</v>
      </c>
      <c r="C40" s="14">
        <f>'- 53 -'!C40</f>
        <v>18528070</v>
      </c>
      <c r="D40" s="14">
        <f>'- 53 -'!E40</f>
        <v>2376660</v>
      </c>
      <c r="E40" s="14">
        <f t="shared" si="0"/>
        <v>20904730</v>
      </c>
      <c r="F40" s="14">
        <f t="shared" si="1"/>
        <v>146742.3144</v>
      </c>
      <c r="G40" s="14">
        <f t="shared" si="2"/>
        <v>42922.4796</v>
      </c>
      <c r="H40" s="14">
        <f t="shared" si="3"/>
        <v>189664.794</v>
      </c>
    </row>
    <row r="41" spans="1:8" ht="12.75">
      <c r="A41" s="11">
        <v>35</v>
      </c>
      <c r="B41" s="12" t="s">
        <v>146</v>
      </c>
      <c r="C41" s="12">
        <f>'- 53 -'!C41</f>
        <v>81234730</v>
      </c>
      <c r="D41" s="12">
        <f>'- 53 -'!E41</f>
        <v>43546040</v>
      </c>
      <c r="E41" s="12">
        <f t="shared" si="0"/>
        <v>124780770</v>
      </c>
      <c r="F41" s="12">
        <f t="shared" si="1"/>
        <v>643379.0616</v>
      </c>
      <c r="G41" s="12">
        <f t="shared" si="2"/>
        <v>786441.4824</v>
      </c>
      <c r="H41" s="12">
        <f t="shared" si="3"/>
        <v>1429820.544</v>
      </c>
    </row>
    <row r="42" spans="1:8" ht="12.75">
      <c r="A42" s="13">
        <v>36</v>
      </c>
      <c r="B42" s="14" t="s">
        <v>147</v>
      </c>
      <c r="C42" s="14">
        <f>'- 53 -'!C42</f>
        <v>52014030</v>
      </c>
      <c r="D42" s="14">
        <f>'- 53 -'!E42</f>
        <v>18967620</v>
      </c>
      <c r="E42" s="14">
        <f t="shared" si="0"/>
        <v>70981650</v>
      </c>
      <c r="F42" s="14">
        <f t="shared" si="1"/>
        <v>411951.1176</v>
      </c>
      <c r="G42" s="14">
        <f t="shared" si="2"/>
        <v>342555.2172</v>
      </c>
      <c r="H42" s="14">
        <f t="shared" si="3"/>
        <v>754506.3348000001</v>
      </c>
    </row>
    <row r="43" spans="1:8" ht="12.75">
      <c r="A43" s="11">
        <v>37</v>
      </c>
      <c r="B43" s="12" t="s">
        <v>148</v>
      </c>
      <c r="C43" s="12">
        <f>'- 53 -'!C43</f>
        <v>42449510</v>
      </c>
      <c r="D43" s="12">
        <f>'- 53 -'!E43</f>
        <v>23758670</v>
      </c>
      <c r="E43" s="12">
        <f t="shared" si="0"/>
        <v>66208180</v>
      </c>
      <c r="F43" s="12">
        <f t="shared" si="1"/>
        <v>336200.1192</v>
      </c>
      <c r="G43" s="12">
        <f t="shared" si="2"/>
        <v>429081.58019999997</v>
      </c>
      <c r="H43" s="12">
        <f t="shared" si="3"/>
        <v>765281.6994</v>
      </c>
    </row>
    <row r="44" spans="1:8" ht="12.75">
      <c r="A44" s="13">
        <v>38</v>
      </c>
      <c r="B44" s="14" t="s">
        <v>149</v>
      </c>
      <c r="C44" s="14">
        <f>'- 53 -'!C44</f>
        <v>40237120</v>
      </c>
      <c r="D44" s="14">
        <f>'- 53 -'!E44</f>
        <v>64267380</v>
      </c>
      <c r="E44" s="14">
        <f t="shared" si="0"/>
        <v>104504500</v>
      </c>
      <c r="F44" s="14">
        <f t="shared" si="1"/>
        <v>318677.9904</v>
      </c>
      <c r="G44" s="14">
        <f t="shared" si="2"/>
        <v>1160668.8828</v>
      </c>
      <c r="H44" s="14">
        <f t="shared" si="3"/>
        <v>1479346.8732</v>
      </c>
    </row>
    <row r="45" spans="1:8" ht="12.75">
      <c r="A45" s="11">
        <v>39</v>
      </c>
      <c r="B45" s="12" t="s">
        <v>150</v>
      </c>
      <c r="C45" s="12">
        <f>'- 53 -'!C45</f>
        <v>109141100</v>
      </c>
      <c r="D45" s="12">
        <f>'- 53 -'!E45</f>
        <v>75670230</v>
      </c>
      <c r="E45" s="12">
        <f t="shared" si="0"/>
        <v>184811330</v>
      </c>
      <c r="F45" s="12">
        <f t="shared" si="1"/>
        <v>864397.512</v>
      </c>
      <c r="G45" s="12">
        <f t="shared" si="2"/>
        <v>1366604.3538</v>
      </c>
      <c r="H45" s="12">
        <f t="shared" si="3"/>
        <v>2231001.8658</v>
      </c>
    </row>
    <row r="46" spans="1:8" ht="12.75">
      <c r="A46" s="13">
        <v>40</v>
      </c>
      <c r="B46" s="14" t="s">
        <v>151</v>
      </c>
      <c r="C46" s="14">
        <f>'- 53 -'!C46</f>
        <v>543835810</v>
      </c>
      <c r="D46" s="14">
        <f>'- 53 -'!E46</f>
        <v>377788340</v>
      </c>
      <c r="E46" s="14">
        <f t="shared" si="0"/>
        <v>921624150</v>
      </c>
      <c r="F46" s="14">
        <f t="shared" si="1"/>
        <v>4307179.6152</v>
      </c>
      <c r="G46" s="14">
        <f t="shared" si="2"/>
        <v>6822857.4204</v>
      </c>
      <c r="H46" s="14">
        <f t="shared" si="3"/>
        <v>11130037.0356</v>
      </c>
    </row>
    <row r="47" spans="1:8" ht="12.75">
      <c r="A47" s="11">
        <v>41</v>
      </c>
      <c r="B47" s="12" t="s">
        <v>152</v>
      </c>
      <c r="C47" s="12">
        <f>'- 53 -'!C47</f>
        <v>61917010</v>
      </c>
      <c r="D47" s="12">
        <f>'- 53 -'!E47</f>
        <v>103771480</v>
      </c>
      <c r="E47" s="12">
        <f t="shared" si="0"/>
        <v>165688490</v>
      </c>
      <c r="F47" s="12">
        <f t="shared" si="1"/>
        <v>490382.7192</v>
      </c>
      <c r="G47" s="12">
        <f t="shared" si="2"/>
        <v>1874112.9287999999</v>
      </c>
      <c r="H47" s="12">
        <f t="shared" si="3"/>
        <v>2364495.648</v>
      </c>
    </row>
    <row r="48" spans="1:8" ht="12.75">
      <c r="A48" s="13">
        <v>42</v>
      </c>
      <c r="B48" s="14" t="s">
        <v>153</v>
      </c>
      <c r="C48" s="14">
        <f>'- 53 -'!C48</f>
        <v>40162620</v>
      </c>
      <c r="D48" s="14">
        <f>'- 53 -'!E48</f>
        <v>43843490</v>
      </c>
      <c r="E48" s="14">
        <f t="shared" si="0"/>
        <v>84006110</v>
      </c>
      <c r="F48" s="14">
        <f t="shared" si="1"/>
        <v>318087.9504</v>
      </c>
      <c r="G48" s="14">
        <f t="shared" si="2"/>
        <v>791813.4294</v>
      </c>
      <c r="H48" s="14">
        <f t="shared" si="3"/>
        <v>1109901.3798</v>
      </c>
    </row>
    <row r="49" spans="1:8" ht="12.75">
      <c r="A49" s="11">
        <v>43</v>
      </c>
      <c r="B49" s="12" t="s">
        <v>154</v>
      </c>
      <c r="C49" s="12">
        <f>'- 53 -'!C49</f>
        <v>32974910</v>
      </c>
      <c r="D49" s="12">
        <f>'- 53 -'!E49</f>
        <v>30714080</v>
      </c>
      <c r="E49" s="12">
        <f t="shared" si="0"/>
        <v>63688990</v>
      </c>
      <c r="F49" s="12">
        <f t="shared" si="1"/>
        <v>261161.2872</v>
      </c>
      <c r="G49" s="12">
        <f t="shared" si="2"/>
        <v>554696.2848</v>
      </c>
      <c r="H49" s="12">
        <f t="shared" si="3"/>
        <v>815857.572</v>
      </c>
    </row>
    <row r="50" spans="1:8" ht="12.75">
      <c r="A50" s="13">
        <v>44</v>
      </c>
      <c r="B50" s="14" t="s">
        <v>155</v>
      </c>
      <c r="C50" s="14">
        <f>'- 53 -'!C50</f>
        <v>56579680</v>
      </c>
      <c r="D50" s="14">
        <f>'- 53 -'!E50</f>
        <v>31198750</v>
      </c>
      <c r="E50" s="14">
        <f t="shared" si="0"/>
        <v>87778430</v>
      </c>
      <c r="F50" s="14">
        <f t="shared" si="1"/>
        <v>448111.0656</v>
      </c>
      <c r="G50" s="14">
        <f t="shared" si="2"/>
        <v>563449.425</v>
      </c>
      <c r="H50" s="14">
        <f t="shared" si="3"/>
        <v>1011560.4906</v>
      </c>
    </row>
    <row r="51" spans="1:8" ht="12.75">
      <c r="A51" s="11">
        <v>45</v>
      </c>
      <c r="B51" s="12" t="s">
        <v>156</v>
      </c>
      <c r="C51" s="12">
        <f>'- 53 -'!C51</f>
        <v>72099660</v>
      </c>
      <c r="D51" s="12">
        <f>'- 53 -'!E51</f>
        <v>51882890</v>
      </c>
      <c r="E51" s="12">
        <f t="shared" si="0"/>
        <v>123982550</v>
      </c>
      <c r="F51" s="12">
        <f t="shared" si="1"/>
        <v>571029.3072</v>
      </c>
      <c r="G51" s="12">
        <f t="shared" si="2"/>
        <v>937004.9934</v>
      </c>
      <c r="H51" s="12">
        <f t="shared" si="3"/>
        <v>1508034.3006000002</v>
      </c>
    </row>
    <row r="52" spans="1:8" ht="12.75">
      <c r="A52" s="13">
        <v>46</v>
      </c>
      <c r="B52" s="14" t="s">
        <v>157</v>
      </c>
      <c r="C52" s="14">
        <f>'- 53 -'!C52</f>
        <v>50954200</v>
      </c>
      <c r="D52" s="14">
        <f>'- 53 -'!E52</f>
        <v>19706020</v>
      </c>
      <c r="E52" s="14">
        <f t="shared" si="0"/>
        <v>70660220</v>
      </c>
      <c r="F52" s="14">
        <f t="shared" si="1"/>
        <v>403557.264</v>
      </c>
      <c r="G52" s="14">
        <f t="shared" si="2"/>
        <v>355890.72119999997</v>
      </c>
      <c r="H52" s="14">
        <f t="shared" si="3"/>
        <v>759447.9852</v>
      </c>
    </row>
    <row r="53" spans="1:8" ht="12.75">
      <c r="A53" s="11">
        <v>47</v>
      </c>
      <c r="B53" s="12" t="s">
        <v>158</v>
      </c>
      <c r="C53" s="12">
        <f>'- 53 -'!C53</f>
        <v>90619350</v>
      </c>
      <c r="D53" s="12">
        <f>'- 53 -'!E53</f>
        <v>39110700</v>
      </c>
      <c r="E53" s="12">
        <f t="shared" si="0"/>
        <v>129730050</v>
      </c>
      <c r="F53" s="12">
        <f t="shared" si="1"/>
        <v>717705.252</v>
      </c>
      <c r="G53" s="12">
        <f t="shared" si="2"/>
        <v>706339.242</v>
      </c>
      <c r="H53" s="12">
        <f t="shared" si="3"/>
        <v>1424044.494</v>
      </c>
    </row>
    <row r="54" spans="1:8" ht="12.75">
      <c r="A54" s="13">
        <v>48</v>
      </c>
      <c r="B54" s="14" t="s">
        <v>159</v>
      </c>
      <c r="C54" s="14">
        <f>'- 53 -'!C54</f>
        <v>32563900</v>
      </c>
      <c r="D54" s="14">
        <f>'- 53 -'!E54</f>
        <v>20414680</v>
      </c>
      <c r="E54" s="14">
        <f t="shared" si="0"/>
        <v>52978580</v>
      </c>
      <c r="F54" s="14">
        <f t="shared" si="1"/>
        <v>257906.088</v>
      </c>
      <c r="G54" s="14">
        <f t="shared" si="2"/>
        <v>368689.1208</v>
      </c>
      <c r="H54" s="14">
        <f t="shared" si="3"/>
        <v>626595.2087999999</v>
      </c>
    </row>
    <row r="55" spans="1:8" ht="12.75">
      <c r="A55" s="11">
        <v>49</v>
      </c>
      <c r="B55" s="12" t="s">
        <v>160</v>
      </c>
      <c r="C55" s="12">
        <f>'- 53 -'!C55</f>
        <v>0</v>
      </c>
      <c r="D55" s="12">
        <f>'- 53 -'!E55</f>
        <v>0</v>
      </c>
      <c r="E55" s="12">
        <f t="shared" si="0"/>
        <v>0</v>
      </c>
      <c r="F55" s="12">
        <f t="shared" si="1"/>
        <v>0</v>
      </c>
      <c r="G55" s="12">
        <f t="shared" si="2"/>
        <v>0</v>
      </c>
      <c r="H55" s="12">
        <f t="shared" si="3"/>
        <v>0</v>
      </c>
    </row>
    <row r="56" spans="1:8" ht="12.75">
      <c r="A56" s="13">
        <v>50</v>
      </c>
      <c r="B56" s="14" t="s">
        <v>343</v>
      </c>
      <c r="C56" s="14">
        <f>'- 53 -'!C56</f>
        <v>68463160</v>
      </c>
      <c r="D56" s="14">
        <f>'- 53 -'!E56</f>
        <v>42168840</v>
      </c>
      <c r="E56" s="14">
        <f t="shared" si="0"/>
        <v>110632000</v>
      </c>
      <c r="F56" s="14">
        <f t="shared" si="1"/>
        <v>542228.2272</v>
      </c>
      <c r="G56" s="14">
        <f t="shared" si="2"/>
        <v>761569.2504</v>
      </c>
      <c r="H56" s="14">
        <f t="shared" si="3"/>
        <v>1303797.4775999999</v>
      </c>
    </row>
    <row r="57" spans="1:8" ht="12.75">
      <c r="A57" s="11">
        <v>2264</v>
      </c>
      <c r="B57" s="12" t="s">
        <v>161</v>
      </c>
      <c r="C57" s="12">
        <f>'- 53 -'!C57</f>
        <v>4476880</v>
      </c>
      <c r="D57" s="12">
        <f>'- 53 -'!E57</f>
        <v>8299490</v>
      </c>
      <c r="E57" s="12">
        <f t="shared" si="0"/>
        <v>12776370</v>
      </c>
      <c r="F57" s="12">
        <f t="shared" si="1"/>
        <v>35456.8896</v>
      </c>
      <c r="G57" s="12">
        <f t="shared" si="2"/>
        <v>149888.7894</v>
      </c>
      <c r="H57" s="12">
        <f t="shared" si="3"/>
        <v>185345.679</v>
      </c>
    </row>
    <row r="58" spans="1:8" ht="12.75">
      <c r="A58" s="13">
        <v>2309</v>
      </c>
      <c r="B58" s="14" t="s">
        <v>162</v>
      </c>
      <c r="C58" s="14">
        <f>'- 53 -'!C58</f>
        <v>8409080</v>
      </c>
      <c r="D58" s="14">
        <f>'- 53 -'!E58</f>
        <v>2040040</v>
      </c>
      <c r="E58" s="14">
        <f t="shared" si="0"/>
        <v>10449120</v>
      </c>
      <c r="F58" s="14">
        <f t="shared" si="1"/>
        <v>66599.9136</v>
      </c>
      <c r="G58" s="14">
        <f t="shared" si="2"/>
        <v>36843.1224</v>
      </c>
      <c r="H58" s="14">
        <f t="shared" si="3"/>
        <v>103443.036</v>
      </c>
    </row>
    <row r="59" spans="1:8" ht="12.75">
      <c r="A59" s="11">
        <v>2312</v>
      </c>
      <c r="B59" s="12" t="s">
        <v>163</v>
      </c>
      <c r="C59" s="12">
        <f>'- 53 -'!C59</f>
        <v>1598810</v>
      </c>
      <c r="D59" s="12">
        <f>'- 53 -'!E59</f>
        <v>1121110</v>
      </c>
      <c r="E59" s="12">
        <f t="shared" si="0"/>
        <v>2719920</v>
      </c>
      <c r="F59" s="12">
        <f t="shared" si="1"/>
        <v>12662.5752</v>
      </c>
      <c r="G59" s="12">
        <f t="shared" si="2"/>
        <v>20247.2466</v>
      </c>
      <c r="H59" s="12">
        <f t="shared" si="3"/>
        <v>32909.8218</v>
      </c>
    </row>
    <row r="60" spans="1:8" ht="12.75">
      <c r="A60" s="13">
        <v>2355</v>
      </c>
      <c r="B60" s="14" t="s">
        <v>164</v>
      </c>
      <c r="C60" s="14">
        <f>'- 53 -'!C60</f>
        <v>134374810</v>
      </c>
      <c r="D60" s="14">
        <f>'- 53 -'!E60</f>
        <v>54279540</v>
      </c>
      <c r="E60" s="14">
        <f t="shared" si="0"/>
        <v>188654350</v>
      </c>
      <c r="F60" s="14">
        <f t="shared" si="1"/>
        <v>1064248.4952</v>
      </c>
      <c r="G60" s="14">
        <f t="shared" si="2"/>
        <v>980288.4924</v>
      </c>
      <c r="H60" s="14">
        <f t="shared" si="3"/>
        <v>2044536.9876</v>
      </c>
    </row>
    <row r="61" spans="1:8" ht="12.75">
      <c r="A61" s="11">
        <v>2439</v>
      </c>
      <c r="B61" s="12" t="s">
        <v>165</v>
      </c>
      <c r="C61" s="12">
        <f>'- 53 -'!C61</f>
        <v>5312790</v>
      </c>
      <c r="D61" s="12">
        <f>'- 53 -'!E61</f>
        <v>3900370</v>
      </c>
      <c r="E61" s="12">
        <f t="shared" si="0"/>
        <v>9213160</v>
      </c>
      <c r="F61" s="12">
        <f t="shared" si="1"/>
        <v>42077.2968</v>
      </c>
      <c r="G61" s="12">
        <f t="shared" si="2"/>
        <v>70440.6822</v>
      </c>
      <c r="H61" s="12">
        <f t="shared" si="3"/>
        <v>112517.97899999999</v>
      </c>
    </row>
    <row r="62" spans="1:8" ht="12.75">
      <c r="A62" s="13">
        <v>2460</v>
      </c>
      <c r="B62" s="14" t="s">
        <v>166</v>
      </c>
      <c r="C62" s="14">
        <f>'- 53 -'!C62</f>
        <v>7424080</v>
      </c>
      <c r="D62" s="14">
        <f>'- 53 -'!E62</f>
        <v>9614420</v>
      </c>
      <c r="E62" s="14">
        <f t="shared" si="0"/>
        <v>17038500</v>
      </c>
      <c r="F62" s="14">
        <f t="shared" si="1"/>
        <v>58798.7136</v>
      </c>
      <c r="G62" s="14">
        <f t="shared" si="2"/>
        <v>173636.4252</v>
      </c>
      <c r="H62" s="14">
        <f t="shared" si="3"/>
        <v>232435.13880000002</v>
      </c>
    </row>
    <row r="63" spans="1:8" ht="12.75">
      <c r="A63" s="11">
        <v>3000</v>
      </c>
      <c r="B63" s="12" t="s">
        <v>366</v>
      </c>
      <c r="C63" s="12">
        <f>'- 53 -'!C63</f>
        <v>0</v>
      </c>
      <c r="D63" s="12">
        <f>'- 53 -'!E63</f>
        <v>0</v>
      </c>
      <c r="E63" s="12"/>
      <c r="F63" s="12"/>
      <c r="G63" s="12"/>
      <c r="H63" s="12"/>
    </row>
    <row r="64" spans="1:2" ht="4.5" customHeight="1">
      <c r="A64" s="15"/>
      <c r="B64" s="15"/>
    </row>
    <row r="65" spans="1:8" ht="12.75">
      <c r="A65" s="17"/>
      <c r="B65" s="18" t="s">
        <v>167</v>
      </c>
      <c r="C65" s="18">
        <f aca="true" t="shared" si="4" ref="C65:H65">SUM(C11:C63)</f>
        <v>12478584740</v>
      </c>
      <c r="D65" s="18">
        <f t="shared" si="4"/>
        <v>6014168250</v>
      </c>
      <c r="E65" s="18">
        <f t="shared" si="4"/>
        <v>18492752990</v>
      </c>
      <c r="F65" s="18">
        <f t="shared" si="4"/>
        <v>98830391.14079997</v>
      </c>
      <c r="G65" s="18">
        <f t="shared" si="4"/>
        <v>108615878.59499997</v>
      </c>
      <c r="H65" s="18">
        <f t="shared" si="4"/>
        <v>207446269.73579994</v>
      </c>
    </row>
    <row r="66" spans="1:8" ht="4.5" customHeight="1">
      <c r="A66" s="15"/>
      <c r="B66" s="15"/>
      <c r="C66" s="15"/>
      <c r="D66" s="15"/>
      <c r="E66" s="15"/>
      <c r="F66" s="15"/>
      <c r="G66" s="15"/>
      <c r="H66" s="15"/>
    </row>
    <row r="67" spans="1:8" ht="12.75">
      <c r="A67" s="15"/>
      <c r="B67" s="14" t="s">
        <v>247</v>
      </c>
      <c r="C67" s="14">
        <f>'- 53 -'!C67</f>
        <v>15947530</v>
      </c>
      <c r="D67" s="14">
        <f>'- 53 -'!E67</f>
        <v>1149780</v>
      </c>
      <c r="E67" s="14">
        <f>SUM(C67:D67)</f>
        <v>17097310</v>
      </c>
      <c r="F67" s="14">
        <v>0</v>
      </c>
      <c r="G67" s="14">
        <v>0</v>
      </c>
      <c r="H67" s="14">
        <f>SUM(F67:G67)</f>
        <v>0</v>
      </c>
    </row>
    <row r="68" spans="1:8" ht="12.75">
      <c r="A68" s="15"/>
      <c r="B68" s="12" t="s">
        <v>248</v>
      </c>
      <c r="C68" s="447">
        <f>'- 53 -'!C68</f>
        <v>6161690</v>
      </c>
      <c r="D68" s="447">
        <f>'- 53 -'!E68</f>
        <v>22229650</v>
      </c>
      <c r="E68" s="12">
        <f>SUM(C68:D68)</f>
        <v>28391340</v>
      </c>
      <c r="F68" s="12">
        <f>C68*J$9</f>
        <v>48800.5848</v>
      </c>
      <c r="G68" s="12">
        <f>D68*K$9</f>
        <v>401467.479</v>
      </c>
      <c r="H68" s="12">
        <f>SUM(F68:G68)</f>
        <v>450268.0638</v>
      </c>
    </row>
    <row r="69" spans="1:8" ht="6.75" customHeight="1">
      <c r="A69" s="15"/>
      <c r="B69" s="15"/>
      <c r="C69" s="15"/>
      <c r="D69" s="15"/>
      <c r="E69" s="15"/>
      <c r="F69" s="15"/>
      <c r="G69" s="15"/>
      <c r="H69" s="15"/>
    </row>
    <row r="70" spans="1:8" ht="12" customHeight="1">
      <c r="A70" s="15"/>
      <c r="B70" s="18" t="s">
        <v>249</v>
      </c>
      <c r="C70" s="18">
        <f aca="true" t="shared" si="5" ref="C70:H70">SUM(C65,C67:C68)</f>
        <v>12500693960</v>
      </c>
      <c r="D70" s="18">
        <f t="shared" si="5"/>
        <v>6037547680</v>
      </c>
      <c r="E70" s="18">
        <f t="shared" si="5"/>
        <v>18538241640</v>
      </c>
      <c r="F70" s="18">
        <f t="shared" si="5"/>
        <v>98879191.72559997</v>
      </c>
      <c r="G70" s="18">
        <f t="shared" si="5"/>
        <v>109017346.07399997</v>
      </c>
      <c r="H70" s="18">
        <f t="shared" si="5"/>
        <v>207896537.79959995</v>
      </c>
    </row>
    <row r="71" spans="1:8" ht="12" customHeight="1">
      <c r="A71" s="4"/>
      <c r="B71" s="4"/>
      <c r="C71" s="15"/>
      <c r="D71" s="15"/>
      <c r="E71" s="15"/>
      <c r="F71" s="15"/>
      <c r="G71" s="15"/>
      <c r="H71" s="15"/>
    </row>
    <row r="72" spans="1:9" ht="12" customHeight="1">
      <c r="A72" s="380" t="s">
        <v>354</v>
      </c>
      <c r="B72" s="350" t="s">
        <v>348</v>
      </c>
      <c r="C72" s="120"/>
      <c r="D72" s="120"/>
      <c r="E72" s="120"/>
      <c r="F72" s="120"/>
      <c r="G72" s="120"/>
      <c r="H72" s="120"/>
      <c r="I72" s="121"/>
    </row>
    <row r="73" spans="1:9" ht="12" customHeight="1">
      <c r="A73" s="4"/>
      <c r="B73" s="350" t="s">
        <v>349</v>
      </c>
      <c r="C73" s="120"/>
      <c r="D73" s="120"/>
      <c r="E73" s="120"/>
      <c r="F73" s="120"/>
      <c r="G73" s="120"/>
      <c r="H73" s="120"/>
      <c r="I73" s="121"/>
    </row>
    <row r="74" spans="1:9" ht="12" customHeight="1">
      <c r="A74" s="4"/>
      <c r="B74" s="4"/>
      <c r="C74" s="120"/>
      <c r="D74" s="120"/>
      <c r="E74" s="120"/>
      <c r="F74" s="120"/>
      <c r="G74" s="120"/>
      <c r="H74" s="120"/>
      <c r="I74" s="121"/>
    </row>
    <row r="75" spans="3:8" ht="12" customHeight="1">
      <c r="C75" s="126"/>
      <c r="D75" s="170"/>
      <c r="E75" s="170"/>
      <c r="F75" s="170"/>
      <c r="G75" s="170"/>
      <c r="H75" s="17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3">
    <pageSetUpPr fitToPage="1"/>
  </sheetPr>
  <dimension ref="A1:L74"/>
  <sheetViews>
    <sheetView showGridLines="0" showZeros="0" workbookViewId="0" topLeftCell="A1">
      <selection activeCell="A1" sqref="A1"/>
    </sheetView>
  </sheetViews>
  <sheetFormatPr defaultColWidth="15.83203125" defaultRowHeight="12"/>
  <cols>
    <col min="1" max="1" width="6.83203125" style="79" customWidth="1"/>
    <col min="2" max="2" width="34.83203125" style="79" customWidth="1"/>
    <col min="3" max="3" width="16.83203125" style="79" customWidth="1"/>
    <col min="4" max="4" width="15.83203125" style="79" customWidth="1"/>
    <col min="5" max="6" width="16.83203125" style="79" customWidth="1"/>
    <col min="7" max="16384" width="15.83203125" style="79" customWidth="1"/>
  </cols>
  <sheetData>
    <row r="1" spans="1:2" ht="6.75" customHeight="1">
      <c r="A1" s="15"/>
      <c r="B1" s="77"/>
    </row>
    <row r="2" spans="1:8" ht="12.75">
      <c r="A2" s="9"/>
      <c r="B2" s="103"/>
      <c r="C2" s="104" t="s">
        <v>173</v>
      </c>
      <c r="D2" s="104"/>
      <c r="E2" s="104"/>
      <c r="F2" s="104"/>
      <c r="G2" s="104"/>
      <c r="H2" s="104"/>
    </row>
    <row r="3" spans="1:8" ht="12.75">
      <c r="A3" s="10"/>
      <c r="B3" s="106"/>
      <c r="C3" s="137" t="str">
        <f>TAXYEAR</f>
        <v>FOR THE 2001 TAXATION YEAR</v>
      </c>
      <c r="D3" s="137"/>
      <c r="E3" s="137"/>
      <c r="F3" s="149"/>
      <c r="G3" s="149"/>
      <c r="H3" s="137"/>
    </row>
    <row r="4" spans="1:8" ht="12.75">
      <c r="A4" s="8"/>
      <c r="B4"/>
      <c r="C4" s="139"/>
      <c r="D4" s="139"/>
      <c r="E4" s="139"/>
      <c r="F4" s="150"/>
      <c r="G4" s="150"/>
      <c r="H4" s="150"/>
    </row>
    <row r="5" spans="1:8" ht="12.75">
      <c r="A5" s="8"/>
      <c r="C5" s="54"/>
      <c r="D5" s="139"/>
      <c r="E5" s="139"/>
      <c r="F5" s="139"/>
      <c r="G5" s="139"/>
      <c r="H5" s="139"/>
    </row>
    <row r="6" spans="1:9" ht="12.75">
      <c r="A6" s="8"/>
      <c r="C6" s="151" t="s">
        <v>183</v>
      </c>
      <c r="D6" s="152"/>
      <c r="E6" s="152"/>
      <c r="F6" s="153"/>
      <c r="G6" s="139"/>
      <c r="H6" s="139"/>
      <c r="I6" s="101" t="s">
        <v>230</v>
      </c>
    </row>
    <row r="7" spans="1:9" ht="12.75">
      <c r="A7" s="15"/>
      <c r="C7" s="154" t="s">
        <v>198</v>
      </c>
      <c r="D7" s="154" t="s">
        <v>199</v>
      </c>
      <c r="E7" s="155"/>
      <c r="F7" s="140"/>
      <c r="G7" s="156"/>
      <c r="H7" s="140" t="s">
        <v>200</v>
      </c>
      <c r="I7" s="101" t="s">
        <v>217</v>
      </c>
    </row>
    <row r="8" spans="1:9" ht="12.75">
      <c r="A8" s="91"/>
      <c r="B8" s="43"/>
      <c r="C8" s="157" t="s">
        <v>227</v>
      </c>
      <c r="D8" s="157" t="s">
        <v>228</v>
      </c>
      <c r="E8" s="158" t="s">
        <v>3</v>
      </c>
      <c r="F8" s="159"/>
      <c r="G8" s="142" t="s">
        <v>200</v>
      </c>
      <c r="H8" s="142" t="s">
        <v>229</v>
      </c>
      <c r="I8" s="101" t="s">
        <v>386</v>
      </c>
    </row>
    <row r="9" spans="1:9" ht="16.5">
      <c r="A9" s="49" t="s">
        <v>101</v>
      </c>
      <c r="B9" s="50" t="s">
        <v>102</v>
      </c>
      <c r="C9" s="160" t="s">
        <v>243</v>
      </c>
      <c r="D9" s="160" t="s">
        <v>240</v>
      </c>
      <c r="E9" s="160" t="s">
        <v>244</v>
      </c>
      <c r="F9" s="144" t="s">
        <v>70</v>
      </c>
      <c r="G9" s="144" t="s">
        <v>229</v>
      </c>
      <c r="H9" s="144" t="s">
        <v>412</v>
      </c>
      <c r="I9" s="101" t="s">
        <v>387</v>
      </c>
    </row>
    <row r="10" spans="1:8" ht="4.5" customHeight="1">
      <c r="A10" s="74"/>
      <c r="B10" s="74"/>
      <c r="C10" s="145"/>
      <c r="D10" s="161"/>
      <c r="E10" s="145"/>
      <c r="F10" s="145"/>
      <c r="G10" s="161"/>
      <c r="H10" s="161"/>
    </row>
    <row r="11" spans="1:12" ht="12.75">
      <c r="A11" s="363">
        <v>1</v>
      </c>
      <c r="B11" s="12" t="s">
        <v>116</v>
      </c>
      <c r="C11" s="12">
        <v>1926128330</v>
      </c>
      <c r="D11" s="12">
        <v>1206900</v>
      </c>
      <c r="E11" s="12">
        <v>1719480270</v>
      </c>
      <c r="F11" s="12">
        <f aca="true" t="shared" si="0" ref="F11:F62">SUM(C11:E11)</f>
        <v>3646815500</v>
      </c>
      <c r="G11" s="12">
        <f>'- 55 -'!D11</f>
        <v>99491180</v>
      </c>
      <c r="H11" s="339">
        <f aca="true" t="shared" si="1" ref="H11:H62">G11/F11*1000</f>
        <v>27.281659848160675</v>
      </c>
      <c r="J11" s="316">
        <v>1</v>
      </c>
      <c r="K11" s="162">
        <f>H11</f>
        <v>27.281659848160675</v>
      </c>
      <c r="L11" s="79">
        <f>G11-'- 55 -'!D11</f>
        <v>0</v>
      </c>
    </row>
    <row r="12" spans="1:12" ht="12.75">
      <c r="A12" s="364">
        <v>2</v>
      </c>
      <c r="B12" s="14" t="s">
        <v>117</v>
      </c>
      <c r="C12" s="14">
        <v>839121300</v>
      </c>
      <c r="D12" s="14">
        <v>6261410</v>
      </c>
      <c r="E12" s="14">
        <v>556861100</v>
      </c>
      <c r="F12" s="14">
        <f t="shared" si="0"/>
        <v>1402243810</v>
      </c>
      <c r="G12" s="14">
        <f>'- 55 -'!D12</f>
        <v>24194252.75</v>
      </c>
      <c r="H12" s="340">
        <f t="shared" si="1"/>
        <v>17.253955822418643</v>
      </c>
      <c r="J12" s="316">
        <v>2</v>
      </c>
      <c r="K12" s="162">
        <f aca="true" t="shared" si="2" ref="K12:K54">H12</f>
        <v>17.253955822418643</v>
      </c>
      <c r="L12" s="390">
        <f>G12-'- 55 -'!D12</f>
        <v>0</v>
      </c>
    </row>
    <row r="13" spans="1:12" ht="12.75">
      <c r="A13" s="363">
        <v>3</v>
      </c>
      <c r="B13" s="12" t="s">
        <v>118</v>
      </c>
      <c r="C13" s="12">
        <v>842744860</v>
      </c>
      <c r="D13" s="12">
        <v>4544930</v>
      </c>
      <c r="E13" s="12">
        <v>109715090</v>
      </c>
      <c r="F13" s="12">
        <f t="shared" si="0"/>
        <v>957004880</v>
      </c>
      <c r="G13" s="12">
        <f>'- 55 -'!D13</f>
        <v>21506115</v>
      </c>
      <c r="H13" s="339">
        <f t="shared" si="1"/>
        <v>22.472314874716208</v>
      </c>
      <c r="J13" s="316">
        <v>3</v>
      </c>
      <c r="K13" s="162">
        <f t="shared" si="2"/>
        <v>22.472314874716208</v>
      </c>
      <c r="L13" s="79">
        <f>G13-'- 55 -'!D13</f>
        <v>0</v>
      </c>
    </row>
    <row r="14" spans="1:12" ht="12.75">
      <c r="A14" s="364">
        <v>4</v>
      </c>
      <c r="B14" s="14" t="s">
        <v>119</v>
      </c>
      <c r="C14" s="14">
        <v>621928120</v>
      </c>
      <c r="D14" s="14">
        <v>1326510</v>
      </c>
      <c r="E14" s="14">
        <v>273194040</v>
      </c>
      <c r="F14" s="14">
        <f t="shared" si="0"/>
        <v>896448670</v>
      </c>
      <c r="G14" s="14">
        <f>'- 55 -'!D14</f>
        <v>20128706</v>
      </c>
      <c r="H14" s="340">
        <f t="shared" si="1"/>
        <v>22.45382995548423</v>
      </c>
      <c r="J14" s="316">
        <v>4</v>
      </c>
      <c r="K14" s="162">
        <f t="shared" si="2"/>
        <v>22.45382995548423</v>
      </c>
      <c r="L14" s="79">
        <f>G14-'- 55 -'!D14</f>
        <v>0</v>
      </c>
    </row>
    <row r="15" spans="1:12" ht="12.75">
      <c r="A15" s="363">
        <v>5</v>
      </c>
      <c r="B15" s="12" t="s">
        <v>120</v>
      </c>
      <c r="C15" s="12">
        <v>682400920</v>
      </c>
      <c r="D15" s="12">
        <v>2274200</v>
      </c>
      <c r="E15" s="12">
        <v>409148770</v>
      </c>
      <c r="F15" s="12">
        <f t="shared" si="0"/>
        <v>1093823890</v>
      </c>
      <c r="G15" s="12">
        <f>'- 55 -'!D15</f>
        <v>24842481</v>
      </c>
      <c r="H15" s="339">
        <f t="shared" si="1"/>
        <v>22.711591168483256</v>
      </c>
      <c r="J15" s="316">
        <v>5</v>
      </c>
      <c r="K15" s="162">
        <f t="shared" si="2"/>
        <v>22.711591168483256</v>
      </c>
      <c r="L15" s="79">
        <f>G15-'- 55 -'!D15</f>
        <v>0</v>
      </c>
    </row>
    <row r="16" spans="1:12" ht="12.75">
      <c r="A16" s="364">
        <v>6</v>
      </c>
      <c r="B16" s="14" t="s">
        <v>121</v>
      </c>
      <c r="C16" s="14">
        <v>828361920</v>
      </c>
      <c r="D16" s="14">
        <v>6131860</v>
      </c>
      <c r="E16" s="14">
        <v>168053070</v>
      </c>
      <c r="F16" s="14">
        <f t="shared" si="0"/>
        <v>1002546850</v>
      </c>
      <c r="G16" s="14">
        <f>'- 55 -'!D16</f>
        <v>22263662</v>
      </c>
      <c r="H16" s="340">
        <f t="shared" si="1"/>
        <v>22.20710383759123</v>
      </c>
      <c r="J16" s="316">
        <v>6</v>
      </c>
      <c r="K16" s="162">
        <f t="shared" si="2"/>
        <v>22.20710383759123</v>
      </c>
      <c r="L16" s="79">
        <f>G16-'- 55 -'!D16</f>
        <v>0</v>
      </c>
    </row>
    <row r="17" spans="1:12" ht="12.75">
      <c r="A17" s="363">
        <v>9</v>
      </c>
      <c r="B17" s="12" t="s">
        <v>122</v>
      </c>
      <c r="C17" s="12">
        <v>1088372770</v>
      </c>
      <c r="D17" s="12">
        <v>6112210</v>
      </c>
      <c r="E17" s="12">
        <v>151129360</v>
      </c>
      <c r="F17" s="12">
        <f t="shared" si="0"/>
        <v>1245614340</v>
      </c>
      <c r="G17" s="12">
        <f>'- 55 -'!D17</f>
        <v>27434327</v>
      </c>
      <c r="H17" s="339">
        <f t="shared" si="1"/>
        <v>22.024736002958992</v>
      </c>
      <c r="J17" s="316">
        <v>9</v>
      </c>
      <c r="K17" s="162">
        <f t="shared" si="2"/>
        <v>22.024736002958992</v>
      </c>
      <c r="L17" s="79">
        <f>G17-'- 55 -'!D17</f>
        <v>0</v>
      </c>
    </row>
    <row r="18" spans="1:12" ht="12.75">
      <c r="A18" s="364">
        <v>10</v>
      </c>
      <c r="B18" s="14" t="s">
        <v>123</v>
      </c>
      <c r="C18" s="14">
        <v>724804620</v>
      </c>
      <c r="D18" s="14">
        <v>5578820</v>
      </c>
      <c r="E18" s="14">
        <v>134752790</v>
      </c>
      <c r="F18" s="14">
        <f t="shared" si="0"/>
        <v>865136230</v>
      </c>
      <c r="G18" s="14">
        <f>'- 55 -'!D18</f>
        <v>23212903</v>
      </c>
      <c r="H18" s="340">
        <f t="shared" si="1"/>
        <v>26.8315002829092</v>
      </c>
      <c r="J18" s="316">
        <v>10</v>
      </c>
      <c r="K18" s="162">
        <f t="shared" si="2"/>
        <v>26.8315002829092</v>
      </c>
      <c r="L18" s="79">
        <f>G18-'- 55 -'!D18</f>
        <v>0</v>
      </c>
    </row>
    <row r="19" spans="1:12" ht="12.75">
      <c r="A19" s="363">
        <v>11</v>
      </c>
      <c r="B19" s="12" t="s">
        <v>124</v>
      </c>
      <c r="C19" s="12">
        <v>483272440</v>
      </c>
      <c r="D19" s="12">
        <v>31040370</v>
      </c>
      <c r="E19" s="12">
        <v>100415220</v>
      </c>
      <c r="F19" s="12">
        <f t="shared" si="0"/>
        <v>614728030</v>
      </c>
      <c r="G19" s="12">
        <f>'- 55 -'!D19</f>
        <v>11633347</v>
      </c>
      <c r="H19" s="339">
        <f t="shared" si="1"/>
        <v>18.924380266180478</v>
      </c>
      <c r="J19" s="316">
        <v>11</v>
      </c>
      <c r="K19" s="162">
        <f t="shared" si="2"/>
        <v>18.924380266180478</v>
      </c>
      <c r="L19" s="79">
        <f>G19-'- 55 -'!D19</f>
        <v>0</v>
      </c>
    </row>
    <row r="20" spans="1:12" ht="12.75">
      <c r="A20" s="364">
        <v>12</v>
      </c>
      <c r="B20" s="14" t="s">
        <v>125</v>
      </c>
      <c r="C20" s="14">
        <v>546546510</v>
      </c>
      <c r="D20" s="14">
        <v>40569120</v>
      </c>
      <c r="E20" s="14">
        <v>285389110</v>
      </c>
      <c r="F20" s="14">
        <f t="shared" si="0"/>
        <v>872504740</v>
      </c>
      <c r="G20" s="14">
        <f>'- 55 -'!D20</f>
        <v>19095729</v>
      </c>
      <c r="H20" s="340">
        <f t="shared" si="1"/>
        <v>21.886103449707335</v>
      </c>
      <c r="J20" s="316">
        <v>12</v>
      </c>
      <c r="K20" s="162">
        <f t="shared" si="2"/>
        <v>21.886103449707335</v>
      </c>
      <c r="L20" s="79">
        <f>G20-'- 55 -'!D20</f>
        <v>0</v>
      </c>
    </row>
    <row r="21" spans="1:12" ht="12.75">
      <c r="A21" s="363">
        <v>13</v>
      </c>
      <c r="B21" s="12" t="s">
        <v>126</v>
      </c>
      <c r="C21" s="12">
        <v>244243410</v>
      </c>
      <c r="D21" s="12">
        <v>53689500</v>
      </c>
      <c r="E21" s="12">
        <v>73886800</v>
      </c>
      <c r="F21" s="12">
        <f t="shared" si="0"/>
        <v>371819710</v>
      </c>
      <c r="G21" s="12">
        <f>'- 55 -'!D21</f>
        <v>7458791.375</v>
      </c>
      <c r="H21" s="339">
        <f t="shared" si="1"/>
        <v>20.060236653403877</v>
      </c>
      <c r="J21" s="316">
        <v>13</v>
      </c>
      <c r="K21" s="162">
        <f t="shared" si="2"/>
        <v>20.060236653403877</v>
      </c>
      <c r="L21" s="79">
        <f>G21-'- 55 -'!D21</f>
        <v>0</v>
      </c>
    </row>
    <row r="22" spans="1:12" ht="12.75">
      <c r="A22" s="364">
        <v>14</v>
      </c>
      <c r="B22" s="14" t="s">
        <v>127</v>
      </c>
      <c r="C22" s="14">
        <v>307268400</v>
      </c>
      <c r="D22" s="14">
        <v>48806280</v>
      </c>
      <c r="E22" s="14">
        <v>70262560</v>
      </c>
      <c r="F22" s="14">
        <f t="shared" si="0"/>
        <v>426337240</v>
      </c>
      <c r="G22" s="14">
        <f>'- 55 -'!D22</f>
        <v>9382053</v>
      </c>
      <c r="H22" s="340">
        <f t="shared" si="1"/>
        <v>22.00617755089844</v>
      </c>
      <c r="J22" s="316">
        <v>14</v>
      </c>
      <c r="K22" s="162">
        <f t="shared" si="2"/>
        <v>22.00617755089844</v>
      </c>
      <c r="L22" s="79">
        <f>G22-'- 55 -'!D22</f>
        <v>0</v>
      </c>
    </row>
    <row r="23" spans="1:12" ht="12.75">
      <c r="A23" s="363">
        <v>15</v>
      </c>
      <c r="B23" s="12" t="s">
        <v>128</v>
      </c>
      <c r="C23" s="12">
        <v>289971010</v>
      </c>
      <c r="D23" s="12">
        <v>79128100</v>
      </c>
      <c r="E23" s="12">
        <v>126412350</v>
      </c>
      <c r="F23" s="12">
        <f t="shared" si="0"/>
        <v>495511460</v>
      </c>
      <c r="G23" s="12">
        <f>'- 55 -'!D23</f>
        <v>7284018</v>
      </c>
      <c r="H23" s="339">
        <f t="shared" si="1"/>
        <v>14.69999906763004</v>
      </c>
      <c r="J23" s="316">
        <v>15</v>
      </c>
      <c r="K23" s="162">
        <f t="shared" si="2"/>
        <v>14.69999906763004</v>
      </c>
      <c r="L23" s="79">
        <f>G23-'- 55 -'!D23</f>
        <v>0</v>
      </c>
    </row>
    <row r="24" spans="1:12" ht="12.75">
      <c r="A24" s="364">
        <v>16</v>
      </c>
      <c r="B24" s="14" t="s">
        <v>129</v>
      </c>
      <c r="C24" s="14">
        <v>33402410</v>
      </c>
      <c r="D24" s="14">
        <v>47526650</v>
      </c>
      <c r="E24" s="14">
        <v>23006310</v>
      </c>
      <c r="F24" s="14">
        <f t="shared" si="0"/>
        <v>103935370</v>
      </c>
      <c r="G24" s="14">
        <f>'- 55 -'!D24</f>
        <v>2081432</v>
      </c>
      <c r="H24" s="340">
        <f t="shared" si="1"/>
        <v>20.026214367640197</v>
      </c>
      <c r="J24" s="316">
        <v>16</v>
      </c>
      <c r="K24" s="162">
        <f t="shared" si="2"/>
        <v>20.026214367640197</v>
      </c>
      <c r="L24" s="79">
        <f>G24-'- 55 -'!D24</f>
        <v>0</v>
      </c>
    </row>
    <row r="25" spans="1:12" ht="12.75">
      <c r="A25" s="363">
        <v>17</v>
      </c>
      <c r="B25" s="12" t="s">
        <v>130</v>
      </c>
      <c r="C25" s="12">
        <v>48649910</v>
      </c>
      <c r="D25" s="12">
        <v>53006220</v>
      </c>
      <c r="E25" s="12">
        <v>31911260</v>
      </c>
      <c r="F25" s="12">
        <f t="shared" si="0"/>
        <v>133567390</v>
      </c>
      <c r="G25" s="12">
        <f>'- 55 -'!D25</f>
        <v>2553113</v>
      </c>
      <c r="H25" s="339">
        <f t="shared" si="1"/>
        <v>19.114792914647804</v>
      </c>
      <c r="J25" s="316">
        <v>17</v>
      </c>
      <c r="K25" s="162">
        <f t="shared" si="2"/>
        <v>19.114792914647804</v>
      </c>
      <c r="L25" s="79">
        <f>G25-'- 55 -'!D25</f>
        <v>0</v>
      </c>
    </row>
    <row r="26" spans="1:12" ht="12.75">
      <c r="A26" s="364">
        <v>18</v>
      </c>
      <c r="B26" s="14" t="s">
        <v>131</v>
      </c>
      <c r="C26" s="14">
        <v>66718350</v>
      </c>
      <c r="D26" s="14">
        <v>45622740</v>
      </c>
      <c r="E26" s="14">
        <v>37825970</v>
      </c>
      <c r="F26" s="14">
        <f t="shared" si="0"/>
        <v>150167060</v>
      </c>
      <c r="G26" s="14">
        <f>'- 55 -'!D26</f>
        <v>2845000</v>
      </c>
      <c r="H26" s="340">
        <f t="shared" si="1"/>
        <v>18.945566357895</v>
      </c>
      <c r="J26" s="316">
        <v>18</v>
      </c>
      <c r="K26" s="162">
        <f t="shared" si="2"/>
        <v>18.945566357895</v>
      </c>
      <c r="L26" s="79">
        <f>G26-'- 55 -'!D26</f>
        <v>0</v>
      </c>
    </row>
    <row r="27" spans="1:12" ht="12.75">
      <c r="A27" s="363">
        <v>19</v>
      </c>
      <c r="B27" s="12" t="s">
        <v>132</v>
      </c>
      <c r="C27" s="12">
        <v>88492860</v>
      </c>
      <c r="D27" s="12">
        <v>83996460</v>
      </c>
      <c r="E27" s="12">
        <v>63624650</v>
      </c>
      <c r="F27" s="12">
        <f t="shared" si="0"/>
        <v>236113970</v>
      </c>
      <c r="G27" s="12">
        <f>'- 55 -'!D27</f>
        <v>3845300</v>
      </c>
      <c r="H27" s="339">
        <f t="shared" si="1"/>
        <v>16.28577927854078</v>
      </c>
      <c r="J27" s="316">
        <v>19</v>
      </c>
      <c r="K27" s="162">
        <f t="shared" si="2"/>
        <v>16.28577927854078</v>
      </c>
      <c r="L27" s="79">
        <f>G27-'- 55 -'!D27</f>
        <v>0</v>
      </c>
    </row>
    <row r="28" spans="1:12" ht="12.75">
      <c r="A28" s="364">
        <v>20</v>
      </c>
      <c r="B28" s="14" t="s">
        <v>133</v>
      </c>
      <c r="C28" s="14">
        <v>70454280</v>
      </c>
      <c r="D28" s="14">
        <v>45967200</v>
      </c>
      <c r="E28" s="14">
        <v>36481770</v>
      </c>
      <c r="F28" s="14">
        <f t="shared" si="0"/>
        <v>152903250</v>
      </c>
      <c r="G28" s="14">
        <f>'- 55 -'!D28</f>
        <v>3336234.2</v>
      </c>
      <c r="H28" s="340">
        <f t="shared" si="1"/>
        <v>21.81924975433812</v>
      </c>
      <c r="J28" s="316">
        <v>20</v>
      </c>
      <c r="K28" s="162">
        <f t="shared" si="2"/>
        <v>21.81924975433812</v>
      </c>
      <c r="L28" s="79">
        <f>G28-'- 55 -'!D28</f>
        <v>0</v>
      </c>
    </row>
    <row r="29" spans="1:12" ht="12.75">
      <c r="A29" s="363">
        <v>21</v>
      </c>
      <c r="B29" s="12" t="s">
        <v>134</v>
      </c>
      <c r="C29" s="12">
        <v>217640970</v>
      </c>
      <c r="D29" s="12">
        <v>84525860</v>
      </c>
      <c r="E29" s="12">
        <v>78118090</v>
      </c>
      <c r="F29" s="12">
        <f t="shared" si="0"/>
        <v>380284920</v>
      </c>
      <c r="G29" s="12">
        <f>'- 55 -'!D29</f>
        <v>7606000</v>
      </c>
      <c r="H29" s="339">
        <f t="shared" si="1"/>
        <v>20.000793089560325</v>
      </c>
      <c r="J29" s="316">
        <v>21</v>
      </c>
      <c r="K29" s="162">
        <f t="shared" si="2"/>
        <v>20.000793089560325</v>
      </c>
      <c r="L29" s="79">
        <f>G29-'- 55 -'!D29</f>
        <v>0</v>
      </c>
    </row>
    <row r="30" spans="1:12" ht="12.75">
      <c r="A30" s="364">
        <v>22</v>
      </c>
      <c r="B30" s="14" t="s">
        <v>135</v>
      </c>
      <c r="C30" s="14">
        <v>209170930</v>
      </c>
      <c r="D30" s="14">
        <v>34343460</v>
      </c>
      <c r="E30" s="14">
        <v>59237670</v>
      </c>
      <c r="F30" s="14">
        <f t="shared" si="0"/>
        <v>302752060</v>
      </c>
      <c r="G30" s="14">
        <f>'- 55 -'!D30</f>
        <v>5022173</v>
      </c>
      <c r="H30" s="340">
        <f t="shared" si="1"/>
        <v>16.5884024042644</v>
      </c>
      <c r="J30" s="316">
        <v>22</v>
      </c>
      <c r="K30" s="162">
        <f t="shared" si="2"/>
        <v>16.5884024042644</v>
      </c>
      <c r="L30" s="79">
        <f>G30-'- 55 -'!D30</f>
        <v>0</v>
      </c>
    </row>
    <row r="31" spans="1:12" ht="12.75">
      <c r="A31" s="363">
        <v>23</v>
      </c>
      <c r="B31" s="12" t="s">
        <v>136</v>
      </c>
      <c r="C31" s="12">
        <v>57149150</v>
      </c>
      <c r="D31" s="12">
        <v>45925650</v>
      </c>
      <c r="E31" s="12">
        <v>17466990</v>
      </c>
      <c r="F31" s="12">
        <f t="shared" si="0"/>
        <v>120541790</v>
      </c>
      <c r="G31" s="12">
        <f>'- 55 -'!D31</f>
        <v>2533745</v>
      </c>
      <c r="H31" s="339">
        <f t="shared" si="1"/>
        <v>21.01963974485529</v>
      </c>
      <c r="J31" s="316">
        <v>23</v>
      </c>
      <c r="K31" s="162">
        <f t="shared" si="2"/>
        <v>21.01963974485529</v>
      </c>
      <c r="L31" s="79">
        <f>G31-'- 55 -'!D31</f>
        <v>0</v>
      </c>
    </row>
    <row r="32" spans="1:12" ht="12.75">
      <c r="A32" s="364">
        <v>24</v>
      </c>
      <c r="B32" s="14" t="s">
        <v>137</v>
      </c>
      <c r="C32" s="14">
        <v>203475740</v>
      </c>
      <c r="D32" s="14">
        <v>77103120</v>
      </c>
      <c r="E32" s="14">
        <v>144928200</v>
      </c>
      <c r="F32" s="14">
        <f t="shared" si="0"/>
        <v>425507060</v>
      </c>
      <c r="G32" s="14">
        <f>'- 55 -'!D32</f>
        <v>7679480.68</v>
      </c>
      <c r="H32" s="340">
        <f t="shared" si="1"/>
        <v>18.047833753921733</v>
      </c>
      <c r="J32" s="316">
        <v>24</v>
      </c>
      <c r="K32" s="162">
        <f t="shared" si="2"/>
        <v>18.047833753921733</v>
      </c>
      <c r="L32" s="79">
        <f>G32-'- 55 -'!D32</f>
        <v>0</v>
      </c>
    </row>
    <row r="33" spans="1:12" ht="12.75">
      <c r="A33" s="363">
        <v>25</v>
      </c>
      <c r="B33" s="12" t="s">
        <v>138</v>
      </c>
      <c r="C33" s="12">
        <v>75774680</v>
      </c>
      <c r="D33" s="12">
        <v>103807680</v>
      </c>
      <c r="E33" s="12">
        <v>22704140</v>
      </c>
      <c r="F33" s="12">
        <f t="shared" si="0"/>
        <v>202286500</v>
      </c>
      <c r="G33" s="12">
        <f>'- 55 -'!D33</f>
        <v>3638151</v>
      </c>
      <c r="H33" s="339">
        <f t="shared" si="1"/>
        <v>17.985139888227835</v>
      </c>
      <c r="J33" s="316">
        <v>25</v>
      </c>
      <c r="K33" s="162">
        <f t="shared" si="2"/>
        <v>17.985139888227835</v>
      </c>
      <c r="L33" s="79">
        <f>G33-'- 55 -'!D33</f>
        <v>0</v>
      </c>
    </row>
    <row r="34" spans="1:12" ht="12.75">
      <c r="A34" s="364">
        <v>26</v>
      </c>
      <c r="B34" s="14" t="s">
        <v>139</v>
      </c>
      <c r="C34" s="14">
        <v>130234890</v>
      </c>
      <c r="D34" s="14">
        <v>54187290</v>
      </c>
      <c r="E34" s="14">
        <v>62984820</v>
      </c>
      <c r="F34" s="14">
        <f t="shared" si="0"/>
        <v>247407000</v>
      </c>
      <c r="G34" s="14">
        <f>'- 55 -'!D34</f>
        <v>4144500</v>
      </c>
      <c r="H34" s="340">
        <f t="shared" si="1"/>
        <v>16.751749142101882</v>
      </c>
      <c r="J34" s="316">
        <v>26</v>
      </c>
      <c r="K34" s="162">
        <f t="shared" si="2"/>
        <v>16.751749142101882</v>
      </c>
      <c r="L34" s="79">
        <f>G34-'- 55 -'!D34</f>
        <v>0</v>
      </c>
    </row>
    <row r="35" spans="1:12" ht="12.75">
      <c r="A35" s="363">
        <v>28</v>
      </c>
      <c r="B35" s="12" t="s">
        <v>140</v>
      </c>
      <c r="C35" s="12">
        <v>31525300</v>
      </c>
      <c r="D35" s="12">
        <v>59391690</v>
      </c>
      <c r="E35" s="12">
        <v>21397990</v>
      </c>
      <c r="F35" s="12">
        <f t="shared" si="0"/>
        <v>112314980</v>
      </c>
      <c r="G35" s="12">
        <f>'- 55 -'!D35</f>
        <v>2317425</v>
      </c>
      <c r="H35" s="339">
        <f t="shared" si="1"/>
        <v>20.633267263191428</v>
      </c>
      <c r="J35" s="316">
        <v>28</v>
      </c>
      <c r="K35" s="162">
        <f t="shared" si="2"/>
        <v>20.633267263191428</v>
      </c>
      <c r="L35" s="79">
        <f>G35-'- 55 -'!D35</f>
        <v>0</v>
      </c>
    </row>
    <row r="36" spans="1:12" ht="12.75">
      <c r="A36" s="364">
        <v>30</v>
      </c>
      <c r="B36" s="14" t="s">
        <v>141</v>
      </c>
      <c r="C36" s="14">
        <v>45154130</v>
      </c>
      <c r="D36" s="14">
        <v>59193510</v>
      </c>
      <c r="E36" s="14">
        <v>43226180</v>
      </c>
      <c r="F36" s="14">
        <f t="shared" si="0"/>
        <v>147573820</v>
      </c>
      <c r="G36" s="14">
        <f>'- 55 -'!D36</f>
        <v>3032643</v>
      </c>
      <c r="H36" s="340">
        <f t="shared" si="1"/>
        <v>20.550006769493397</v>
      </c>
      <c r="J36" s="316">
        <v>30</v>
      </c>
      <c r="K36" s="162">
        <f t="shared" si="2"/>
        <v>20.550006769493397</v>
      </c>
      <c r="L36" s="79">
        <f>G36-'- 55 -'!D36</f>
        <v>0</v>
      </c>
    </row>
    <row r="37" spans="1:12" ht="12.75">
      <c r="A37" s="363">
        <v>31</v>
      </c>
      <c r="B37" s="12" t="s">
        <v>142</v>
      </c>
      <c r="C37" s="12">
        <v>77327520</v>
      </c>
      <c r="D37" s="12">
        <v>60803520</v>
      </c>
      <c r="E37" s="12">
        <v>70286690</v>
      </c>
      <c r="F37" s="12">
        <f t="shared" si="0"/>
        <v>208417730</v>
      </c>
      <c r="G37" s="12">
        <f>'- 55 -'!D37</f>
        <v>3540818</v>
      </c>
      <c r="H37" s="339">
        <f t="shared" si="1"/>
        <v>16.989044070290948</v>
      </c>
      <c r="J37" s="316">
        <v>31</v>
      </c>
      <c r="K37" s="162">
        <f t="shared" si="2"/>
        <v>16.989044070290948</v>
      </c>
      <c r="L37" s="79">
        <f>G37-'- 55 -'!D37</f>
        <v>0</v>
      </c>
    </row>
    <row r="38" spans="1:12" ht="12.75">
      <c r="A38" s="364">
        <v>32</v>
      </c>
      <c r="B38" s="14" t="s">
        <v>143</v>
      </c>
      <c r="C38" s="14">
        <v>34428760</v>
      </c>
      <c r="D38" s="14">
        <v>41207450</v>
      </c>
      <c r="E38" s="14">
        <v>9617990</v>
      </c>
      <c r="F38" s="14">
        <f t="shared" si="0"/>
        <v>85254200</v>
      </c>
      <c r="G38" s="14">
        <f>'- 55 -'!D38</f>
        <v>1796692</v>
      </c>
      <c r="H38" s="340">
        <f t="shared" si="1"/>
        <v>21.074527706552875</v>
      </c>
      <c r="J38" s="316">
        <v>32</v>
      </c>
      <c r="K38" s="162">
        <f t="shared" si="2"/>
        <v>21.074527706552875</v>
      </c>
      <c r="L38" s="79">
        <f>G38-'- 55 -'!D38</f>
        <v>0</v>
      </c>
    </row>
    <row r="39" spans="1:12" ht="12.75">
      <c r="A39" s="363">
        <v>33</v>
      </c>
      <c r="B39" s="12" t="s">
        <v>144</v>
      </c>
      <c r="C39" s="12">
        <v>108448940</v>
      </c>
      <c r="D39" s="12">
        <v>31000650</v>
      </c>
      <c r="E39" s="12">
        <v>44208160</v>
      </c>
      <c r="F39" s="12">
        <f t="shared" si="0"/>
        <v>183657750</v>
      </c>
      <c r="G39" s="12">
        <f>'- 55 -'!D39</f>
        <v>3864916</v>
      </c>
      <c r="H39" s="339">
        <f t="shared" si="1"/>
        <v>21.044121470506962</v>
      </c>
      <c r="J39" s="316">
        <v>33</v>
      </c>
      <c r="K39" s="162">
        <f t="shared" si="2"/>
        <v>21.044121470506962</v>
      </c>
      <c r="L39" s="79">
        <f>G39-'- 55 -'!D39</f>
        <v>0</v>
      </c>
    </row>
    <row r="40" spans="1:12" ht="12.75">
      <c r="A40" s="364">
        <v>34</v>
      </c>
      <c r="B40" s="14" t="s">
        <v>145</v>
      </c>
      <c r="C40" s="14">
        <v>18528070</v>
      </c>
      <c r="D40" s="14">
        <v>20863470</v>
      </c>
      <c r="E40" s="14">
        <v>2376660</v>
      </c>
      <c r="F40" s="14">
        <f t="shared" si="0"/>
        <v>41768200</v>
      </c>
      <c r="G40" s="14">
        <f>'- 55 -'!D40</f>
        <v>1041747</v>
      </c>
      <c r="H40" s="340">
        <f t="shared" si="1"/>
        <v>24.941151402262964</v>
      </c>
      <c r="J40" s="316">
        <v>34</v>
      </c>
      <c r="K40" s="162">
        <f t="shared" si="2"/>
        <v>24.941151402262964</v>
      </c>
      <c r="L40" s="79">
        <f>G40-'- 55 -'!D40</f>
        <v>0</v>
      </c>
    </row>
    <row r="41" spans="1:12" ht="12.75">
      <c r="A41" s="363">
        <v>35</v>
      </c>
      <c r="B41" s="12" t="s">
        <v>146</v>
      </c>
      <c r="C41" s="12">
        <v>81234730</v>
      </c>
      <c r="D41" s="12">
        <v>53852430</v>
      </c>
      <c r="E41" s="12">
        <v>43546040</v>
      </c>
      <c r="F41" s="12">
        <f t="shared" si="0"/>
        <v>178633200</v>
      </c>
      <c r="G41" s="12">
        <f>'- 55 -'!D41</f>
        <v>3961491</v>
      </c>
      <c r="H41" s="339">
        <f t="shared" si="1"/>
        <v>22.176678243462025</v>
      </c>
      <c r="J41" s="316">
        <v>35</v>
      </c>
      <c r="K41" s="162">
        <f t="shared" si="2"/>
        <v>22.176678243462025</v>
      </c>
      <c r="L41" s="79">
        <f>G41-'- 55 -'!D41</f>
        <v>0</v>
      </c>
    </row>
    <row r="42" spans="1:12" ht="12.75">
      <c r="A42" s="364">
        <v>36</v>
      </c>
      <c r="B42" s="14" t="s">
        <v>147</v>
      </c>
      <c r="C42" s="14">
        <v>52014030</v>
      </c>
      <c r="D42" s="14">
        <v>58771560</v>
      </c>
      <c r="E42" s="14">
        <v>18967620</v>
      </c>
      <c r="F42" s="14">
        <f t="shared" si="0"/>
        <v>129753210</v>
      </c>
      <c r="G42" s="14">
        <f>'- 55 -'!D42</f>
        <v>2566518</v>
      </c>
      <c r="H42" s="340">
        <f t="shared" si="1"/>
        <v>19.779996194313807</v>
      </c>
      <c r="J42" s="316">
        <v>36</v>
      </c>
      <c r="K42" s="162">
        <f t="shared" si="2"/>
        <v>19.779996194313807</v>
      </c>
      <c r="L42" s="79">
        <f>G42-'- 55 -'!D42</f>
        <v>0</v>
      </c>
    </row>
    <row r="43" spans="1:12" ht="12.75">
      <c r="A43" s="363">
        <v>37</v>
      </c>
      <c r="B43" s="12" t="s">
        <v>148</v>
      </c>
      <c r="C43" s="12">
        <v>42449510</v>
      </c>
      <c r="D43" s="12">
        <v>46737800</v>
      </c>
      <c r="E43" s="12">
        <v>23758670</v>
      </c>
      <c r="F43" s="12">
        <f t="shared" si="0"/>
        <v>112945980</v>
      </c>
      <c r="G43" s="12">
        <f>'- 55 -'!D43</f>
        <v>2315940</v>
      </c>
      <c r="H43" s="339">
        <f t="shared" si="1"/>
        <v>20.50484665324078</v>
      </c>
      <c r="J43" s="316">
        <v>37</v>
      </c>
      <c r="K43" s="162">
        <f t="shared" si="2"/>
        <v>20.50484665324078</v>
      </c>
      <c r="L43" s="79">
        <f>G43-'- 55 -'!D43</f>
        <v>0</v>
      </c>
    </row>
    <row r="44" spans="1:12" ht="12.75">
      <c r="A44" s="364">
        <v>38</v>
      </c>
      <c r="B44" s="14" t="s">
        <v>149</v>
      </c>
      <c r="C44" s="14">
        <v>40237120</v>
      </c>
      <c r="D44" s="14">
        <v>68626770</v>
      </c>
      <c r="E44" s="14">
        <v>64267380</v>
      </c>
      <c r="F44" s="14">
        <f t="shared" si="0"/>
        <v>173131270</v>
      </c>
      <c r="G44" s="14">
        <f>'- 55 -'!D44</f>
        <v>3493801</v>
      </c>
      <c r="H44" s="340">
        <f t="shared" si="1"/>
        <v>20.18006914637662</v>
      </c>
      <c r="J44" s="316">
        <v>38</v>
      </c>
      <c r="K44" s="162">
        <f t="shared" si="2"/>
        <v>20.18006914637662</v>
      </c>
      <c r="L44" s="79">
        <f>G44-'- 55 -'!D44</f>
        <v>0</v>
      </c>
    </row>
    <row r="45" spans="1:12" ht="12.75">
      <c r="A45" s="363">
        <v>39</v>
      </c>
      <c r="B45" s="12" t="s">
        <v>150</v>
      </c>
      <c r="C45" s="12">
        <v>109141100</v>
      </c>
      <c r="D45" s="12">
        <v>67896560</v>
      </c>
      <c r="E45" s="12">
        <v>75670230</v>
      </c>
      <c r="F45" s="12">
        <f t="shared" si="0"/>
        <v>252707890</v>
      </c>
      <c r="G45" s="12">
        <f>'- 55 -'!D45</f>
        <v>4777022</v>
      </c>
      <c r="H45" s="339">
        <f t="shared" si="1"/>
        <v>18.903335388538917</v>
      </c>
      <c r="J45" s="316">
        <v>39</v>
      </c>
      <c r="K45" s="162">
        <f t="shared" si="2"/>
        <v>18.903335388538917</v>
      </c>
      <c r="L45" s="79">
        <f>G45-'- 55 -'!D45</f>
        <v>0</v>
      </c>
    </row>
    <row r="46" spans="1:12" ht="12.75">
      <c r="A46" s="364">
        <v>40</v>
      </c>
      <c r="B46" s="14" t="s">
        <v>151</v>
      </c>
      <c r="C46" s="14">
        <v>543835810</v>
      </c>
      <c r="D46" s="14">
        <v>24438240</v>
      </c>
      <c r="E46" s="14">
        <v>377788340</v>
      </c>
      <c r="F46" s="14">
        <f t="shared" si="0"/>
        <v>946062390</v>
      </c>
      <c r="G46" s="14">
        <f>'- 55 -'!D46</f>
        <v>15922500</v>
      </c>
      <c r="H46" s="340">
        <f t="shared" si="1"/>
        <v>16.830285368388864</v>
      </c>
      <c r="J46" s="316">
        <v>40</v>
      </c>
      <c r="K46" s="162">
        <f t="shared" si="2"/>
        <v>16.830285368388864</v>
      </c>
      <c r="L46" s="79">
        <f>G46-'- 55 -'!D46</f>
        <v>0</v>
      </c>
    </row>
    <row r="47" spans="1:12" ht="12.75">
      <c r="A47" s="363">
        <v>41</v>
      </c>
      <c r="B47" s="12" t="s">
        <v>152</v>
      </c>
      <c r="C47" s="12">
        <v>61917010</v>
      </c>
      <c r="D47" s="12">
        <v>70573140</v>
      </c>
      <c r="E47" s="12">
        <v>103771480</v>
      </c>
      <c r="F47" s="12">
        <f t="shared" si="0"/>
        <v>236261630</v>
      </c>
      <c r="G47" s="12">
        <f>'- 55 -'!D47</f>
        <v>4589711</v>
      </c>
      <c r="H47" s="339">
        <f t="shared" si="1"/>
        <v>19.42639183518712</v>
      </c>
      <c r="J47" s="316">
        <v>41</v>
      </c>
      <c r="K47" s="162">
        <f t="shared" si="2"/>
        <v>19.42639183518712</v>
      </c>
      <c r="L47" s="79">
        <f>G47-'- 55 -'!D47</f>
        <v>0</v>
      </c>
    </row>
    <row r="48" spans="1:12" ht="12.75">
      <c r="A48" s="364">
        <v>42</v>
      </c>
      <c r="B48" s="14" t="s">
        <v>153</v>
      </c>
      <c r="C48" s="14">
        <v>40162620</v>
      </c>
      <c r="D48" s="14">
        <v>62771100</v>
      </c>
      <c r="E48" s="14">
        <v>43843490</v>
      </c>
      <c r="F48" s="14">
        <f t="shared" si="0"/>
        <v>146777210</v>
      </c>
      <c r="G48" s="14">
        <f>'- 55 -'!D48</f>
        <v>3113615</v>
      </c>
      <c r="H48" s="340">
        <f t="shared" si="1"/>
        <v>21.213204693017396</v>
      </c>
      <c r="J48" s="316">
        <v>42</v>
      </c>
      <c r="K48" s="162">
        <f t="shared" si="2"/>
        <v>21.213204693017396</v>
      </c>
      <c r="L48" s="79">
        <f>G48-'- 55 -'!D48</f>
        <v>0</v>
      </c>
    </row>
    <row r="49" spans="1:12" ht="12.75">
      <c r="A49" s="363">
        <v>43</v>
      </c>
      <c r="B49" s="12" t="s">
        <v>154</v>
      </c>
      <c r="C49" s="12">
        <v>32974910</v>
      </c>
      <c r="D49" s="12">
        <v>77299410</v>
      </c>
      <c r="E49" s="12">
        <v>30714080</v>
      </c>
      <c r="F49" s="12">
        <f t="shared" si="0"/>
        <v>140988400</v>
      </c>
      <c r="G49" s="12">
        <f>'- 55 -'!D49</f>
        <v>2674333</v>
      </c>
      <c r="H49" s="339">
        <f t="shared" si="1"/>
        <v>18.968461235108702</v>
      </c>
      <c r="J49" s="316">
        <v>43</v>
      </c>
      <c r="K49" s="162">
        <f t="shared" si="2"/>
        <v>18.968461235108702</v>
      </c>
      <c r="L49" s="79">
        <f>G49-'- 55 -'!D49</f>
        <v>0</v>
      </c>
    </row>
    <row r="50" spans="1:12" ht="12.75">
      <c r="A50" s="364">
        <v>44</v>
      </c>
      <c r="B50" s="14" t="s">
        <v>155</v>
      </c>
      <c r="C50" s="14">
        <v>56579680</v>
      </c>
      <c r="D50" s="14">
        <v>61255260</v>
      </c>
      <c r="E50" s="14">
        <v>31198750</v>
      </c>
      <c r="F50" s="14">
        <f t="shared" si="0"/>
        <v>149033690</v>
      </c>
      <c r="G50" s="14">
        <f>'- 55 -'!D50</f>
        <v>3383514</v>
      </c>
      <c r="H50" s="340">
        <f t="shared" si="1"/>
        <v>22.703014331860132</v>
      </c>
      <c r="J50" s="316">
        <v>44</v>
      </c>
      <c r="K50" s="162">
        <f t="shared" si="2"/>
        <v>22.703014331860132</v>
      </c>
      <c r="L50" s="79">
        <f>G50-'- 55 -'!D50</f>
        <v>0</v>
      </c>
    </row>
    <row r="51" spans="1:12" ht="12.75">
      <c r="A51" s="363">
        <v>45</v>
      </c>
      <c r="B51" s="12" t="s">
        <v>156</v>
      </c>
      <c r="C51" s="12">
        <v>72099660</v>
      </c>
      <c r="D51" s="12">
        <v>7358940</v>
      </c>
      <c r="E51" s="12">
        <v>51882890</v>
      </c>
      <c r="F51" s="12">
        <f t="shared" si="0"/>
        <v>131341490</v>
      </c>
      <c r="G51" s="12">
        <f>'- 55 -'!D51</f>
        <v>2812358</v>
      </c>
      <c r="H51" s="339">
        <f t="shared" si="1"/>
        <v>21.412563539518246</v>
      </c>
      <c r="J51" s="316">
        <v>45</v>
      </c>
      <c r="K51" s="162">
        <f t="shared" si="2"/>
        <v>21.412563539518246</v>
      </c>
      <c r="L51" s="79">
        <f>G51-'- 55 -'!D51</f>
        <v>0</v>
      </c>
    </row>
    <row r="52" spans="1:12" ht="12.75">
      <c r="A52" s="364">
        <v>46</v>
      </c>
      <c r="B52" s="14" t="s">
        <v>157</v>
      </c>
      <c r="C52" s="14">
        <v>50954200</v>
      </c>
      <c r="D52" s="14">
        <v>0</v>
      </c>
      <c r="E52" s="14">
        <v>19706020</v>
      </c>
      <c r="F52" s="14">
        <f t="shared" si="0"/>
        <v>70660220</v>
      </c>
      <c r="G52" s="14">
        <f>'- 55 -'!D52</f>
        <v>2843511</v>
      </c>
      <c r="H52" s="340">
        <f>(G52-I52)/F52*1000</f>
        <v>21.73471862952026</v>
      </c>
      <c r="I52" s="79">
        <v>1307731</v>
      </c>
      <c r="J52" s="316">
        <v>46</v>
      </c>
      <c r="K52" s="162">
        <f t="shared" si="2"/>
        <v>21.73471862952026</v>
      </c>
      <c r="L52" s="79">
        <f>G52-'- 55 -'!D52</f>
        <v>0</v>
      </c>
    </row>
    <row r="53" spans="1:12" ht="12.75">
      <c r="A53" s="363">
        <v>47</v>
      </c>
      <c r="B53" s="12" t="s">
        <v>158</v>
      </c>
      <c r="C53" s="12">
        <v>90619350</v>
      </c>
      <c r="D53" s="12">
        <v>21118290</v>
      </c>
      <c r="E53" s="12">
        <v>39110700</v>
      </c>
      <c r="F53" s="12">
        <f t="shared" si="0"/>
        <v>150848340</v>
      </c>
      <c r="G53" s="12">
        <f>'- 55 -'!D53</f>
        <v>2929411</v>
      </c>
      <c r="H53" s="339">
        <f t="shared" si="1"/>
        <v>19.419577305259043</v>
      </c>
      <c r="J53" s="316">
        <v>47</v>
      </c>
      <c r="K53" s="162">
        <f t="shared" si="2"/>
        <v>19.419577305259043</v>
      </c>
      <c r="L53" s="79">
        <f>G53-'- 55 -'!D53</f>
        <v>0</v>
      </c>
    </row>
    <row r="54" spans="1:12" ht="12.75">
      <c r="A54" s="364">
        <v>48</v>
      </c>
      <c r="B54" s="14" t="s">
        <v>159</v>
      </c>
      <c r="C54" s="14">
        <v>32563900</v>
      </c>
      <c r="D54" s="14">
        <v>6326520</v>
      </c>
      <c r="E54" s="14">
        <v>20414680</v>
      </c>
      <c r="F54" s="14">
        <f t="shared" si="0"/>
        <v>59305100</v>
      </c>
      <c r="G54" s="14">
        <f>'- 55 -'!D54</f>
        <v>1238656</v>
      </c>
      <c r="H54" s="340">
        <f t="shared" si="1"/>
        <v>20.886163247342978</v>
      </c>
      <c r="J54" s="316">
        <v>48</v>
      </c>
      <c r="K54" s="162">
        <f t="shared" si="2"/>
        <v>20.886163247342978</v>
      </c>
      <c r="L54" s="79">
        <f>G54-'- 55 -'!D54</f>
        <v>0</v>
      </c>
    </row>
    <row r="55" spans="1:12" ht="12.75">
      <c r="A55" s="363">
        <v>49</v>
      </c>
      <c r="B55" s="12" t="s">
        <v>160</v>
      </c>
      <c r="C55" s="12"/>
      <c r="D55" s="12"/>
      <c r="E55" s="12"/>
      <c r="F55" s="12">
        <f t="shared" si="0"/>
        <v>0</v>
      </c>
      <c r="G55" s="12">
        <f>'- 55 -'!D55</f>
        <v>0</v>
      </c>
      <c r="H55" s="339"/>
      <c r="J55" s="316">
        <v>50</v>
      </c>
      <c r="K55" s="162">
        <f aca="true" t="shared" si="3" ref="K55:K61">H56</f>
        <v>21.882186051017857</v>
      </c>
      <c r="L55" s="79">
        <f>G55-'- 55 -'!D55</f>
        <v>0</v>
      </c>
    </row>
    <row r="56" spans="1:12" ht="12.75">
      <c r="A56" s="364">
        <v>50</v>
      </c>
      <c r="B56" s="14" t="s">
        <v>343</v>
      </c>
      <c r="C56" s="14">
        <v>68463160</v>
      </c>
      <c r="D56" s="14">
        <v>131203710</v>
      </c>
      <c r="E56" s="14">
        <v>42168840</v>
      </c>
      <c r="F56" s="14">
        <f t="shared" si="0"/>
        <v>241835710</v>
      </c>
      <c r="G56" s="14">
        <f>'- 55 -'!D56</f>
        <v>5291894</v>
      </c>
      <c r="H56" s="340">
        <f t="shared" si="1"/>
        <v>21.882186051017857</v>
      </c>
      <c r="J56" s="316">
        <v>2264</v>
      </c>
      <c r="K56" s="162">
        <f t="shared" si="3"/>
        <v>36.91276743067047</v>
      </c>
      <c r="L56" s="79">
        <f>G56-'- 55 -'!D56</f>
        <v>0</v>
      </c>
    </row>
    <row r="57" spans="1:12" ht="12.75">
      <c r="A57" s="363">
        <v>2264</v>
      </c>
      <c r="B57" s="12" t="s">
        <v>161</v>
      </c>
      <c r="C57" s="12">
        <v>4476880</v>
      </c>
      <c r="D57" s="12">
        <v>4980</v>
      </c>
      <c r="E57" s="12">
        <v>8299490</v>
      </c>
      <c r="F57" s="12">
        <f t="shared" si="0"/>
        <v>12781350</v>
      </c>
      <c r="G57" s="12">
        <f>'- 55 -'!D57</f>
        <v>471795</v>
      </c>
      <c r="H57" s="339">
        <f t="shared" si="1"/>
        <v>36.91276743067047</v>
      </c>
      <c r="J57" s="316">
        <v>2309</v>
      </c>
      <c r="K57" s="162">
        <f t="shared" si="3"/>
        <v>30.400059710404538</v>
      </c>
      <c r="L57" s="79">
        <f>G57-'- 55 -'!D57</f>
        <v>0</v>
      </c>
    </row>
    <row r="58" spans="1:12" ht="12.75">
      <c r="A58" s="364">
        <v>2309</v>
      </c>
      <c r="B58" s="14" t="s">
        <v>162</v>
      </c>
      <c r="C58" s="14">
        <v>8409080</v>
      </c>
      <c r="D58" s="14">
        <v>1320</v>
      </c>
      <c r="E58" s="14">
        <v>2040040</v>
      </c>
      <c r="F58" s="14">
        <f t="shared" si="0"/>
        <v>10450440</v>
      </c>
      <c r="G58" s="14">
        <f>'- 55 -'!D58</f>
        <v>578010</v>
      </c>
      <c r="H58" s="340">
        <f>(G58-I58)/F58*1000</f>
        <v>30.400059710404538</v>
      </c>
      <c r="I58" s="79">
        <f>80316+180000</f>
        <v>260316</v>
      </c>
      <c r="J58" s="316">
        <v>2312</v>
      </c>
      <c r="K58" s="162">
        <f t="shared" si="3"/>
        <v>36.76578722903614</v>
      </c>
      <c r="L58" s="79">
        <f>G58-'- 55 -'!D58</f>
        <v>0</v>
      </c>
    </row>
    <row r="59" spans="1:12" ht="12.75">
      <c r="A59" s="363">
        <v>2312</v>
      </c>
      <c r="B59" s="12" t="s">
        <v>163</v>
      </c>
      <c r="C59" s="12">
        <v>1598810</v>
      </c>
      <c r="D59" s="12">
        <v>0</v>
      </c>
      <c r="E59" s="12">
        <v>1121110</v>
      </c>
      <c r="F59" s="12">
        <f t="shared" si="0"/>
        <v>2719920</v>
      </c>
      <c r="G59" s="12">
        <f>'- 55 -'!D59</f>
        <v>100000</v>
      </c>
      <c r="H59" s="339">
        <f t="shared" si="1"/>
        <v>36.76578722903614</v>
      </c>
      <c r="J59" s="316">
        <v>2355</v>
      </c>
      <c r="K59" s="162">
        <f t="shared" si="3"/>
        <v>30.166544264683008</v>
      </c>
      <c r="L59" s="79">
        <f>G59-'- 55 -'!D59</f>
        <v>0</v>
      </c>
    </row>
    <row r="60" spans="1:12" ht="12.75">
      <c r="A60" s="364">
        <v>2355</v>
      </c>
      <c r="B60" s="14" t="s">
        <v>164</v>
      </c>
      <c r="C60" s="14">
        <v>134374810</v>
      </c>
      <c r="D60" s="14">
        <v>0</v>
      </c>
      <c r="E60" s="14">
        <v>54279540</v>
      </c>
      <c r="F60" s="14">
        <f t="shared" si="0"/>
        <v>188654350</v>
      </c>
      <c r="G60" s="14">
        <f>'- 55 -'!D60</f>
        <v>5691049.800000001</v>
      </c>
      <c r="H60" s="340">
        <f t="shared" si="1"/>
        <v>30.166544264683008</v>
      </c>
      <c r="J60" s="316">
        <v>2439</v>
      </c>
      <c r="K60" s="162">
        <f t="shared" si="3"/>
        <v>18.09941569845988</v>
      </c>
      <c r="L60" s="79">
        <f>G60-'- 55 -'!D60</f>
        <v>0</v>
      </c>
    </row>
    <row r="61" spans="1:12" ht="12.75">
      <c r="A61" s="363">
        <v>2439</v>
      </c>
      <c r="B61" s="12" t="s">
        <v>165</v>
      </c>
      <c r="C61" s="12">
        <v>5312790</v>
      </c>
      <c r="D61" s="12">
        <v>2630040</v>
      </c>
      <c r="E61" s="12">
        <v>3900370</v>
      </c>
      <c r="F61" s="12">
        <f t="shared" si="0"/>
        <v>11843200</v>
      </c>
      <c r="G61" s="12">
        <f>'- 55 -'!D61</f>
        <v>214355</v>
      </c>
      <c r="H61" s="339">
        <f t="shared" si="1"/>
        <v>18.09941569845988</v>
      </c>
      <c r="J61" s="316">
        <v>2460</v>
      </c>
      <c r="K61" s="162">
        <f t="shared" si="3"/>
        <v>51.52934508439253</v>
      </c>
      <c r="L61" s="79">
        <f>G61-'- 55 -'!D61</f>
        <v>0</v>
      </c>
    </row>
    <row r="62" spans="1:12" ht="12.75">
      <c r="A62" s="364">
        <v>2460</v>
      </c>
      <c r="B62" s="14" t="s">
        <v>166</v>
      </c>
      <c r="C62" s="14">
        <v>7424080</v>
      </c>
      <c r="D62" s="14">
        <v>5070</v>
      </c>
      <c r="E62" s="14">
        <v>9614420</v>
      </c>
      <c r="F62" s="14">
        <f t="shared" si="0"/>
        <v>17043570</v>
      </c>
      <c r="G62" s="14">
        <f>'- 55 -'!D62</f>
        <v>878244</v>
      </c>
      <c r="H62" s="340">
        <f t="shared" si="1"/>
        <v>51.52934508439253</v>
      </c>
      <c r="L62" s="79">
        <f>G62-'- 55 -'!D62</f>
        <v>0</v>
      </c>
    </row>
    <row r="63" spans="1:12" ht="12.75">
      <c r="A63" s="363">
        <v>3000</v>
      </c>
      <c r="B63" s="12" t="s">
        <v>366</v>
      </c>
      <c r="C63" s="12"/>
      <c r="D63" s="12"/>
      <c r="E63" s="12"/>
      <c r="F63" s="12"/>
      <c r="G63" s="12">
        <f>'- 55 -'!D63</f>
        <v>0</v>
      </c>
      <c r="H63" s="12"/>
      <c r="L63" s="79">
        <f>G63-'- 55 -'!D63</f>
        <v>0</v>
      </c>
    </row>
    <row r="64" spans="2:12" ht="4.5" customHeight="1">
      <c r="B64" s="15"/>
      <c r="H64" s="162"/>
      <c r="L64" s="79">
        <f>G64-'- 55 -'!D64</f>
        <v>0</v>
      </c>
    </row>
    <row r="65" spans="1:12" ht="12.75">
      <c r="A65" s="99"/>
      <c r="B65" s="18" t="s">
        <v>167</v>
      </c>
      <c r="C65" s="18">
        <f>SUM(C11:C63)</f>
        <v>12478584740</v>
      </c>
      <c r="D65" s="18">
        <f>SUM(D11:D63)</f>
        <v>1996013970</v>
      </c>
      <c r="E65" s="18">
        <f>SUM(E11:E63)</f>
        <v>6014168250</v>
      </c>
      <c r="F65" s="18">
        <f>SUM(F11:F63)</f>
        <v>20488766960</v>
      </c>
      <c r="G65" s="18">
        <f>SUM(G11:G63)</f>
        <v>448654663.805</v>
      </c>
      <c r="H65" s="163">
        <f>G65/F65*1000</f>
        <v>21.897592211425103</v>
      </c>
      <c r="L65" s="79">
        <f>G65-'- 55 -'!D65</f>
        <v>0</v>
      </c>
    </row>
    <row r="66" ht="4.5" customHeight="1">
      <c r="B66" s="15"/>
    </row>
    <row r="67" spans="1:6" ht="12.75">
      <c r="A67" s="164"/>
      <c r="B67" s="14" t="s">
        <v>247</v>
      </c>
      <c r="C67" s="97">
        <v>15947530</v>
      </c>
      <c r="D67" s="97">
        <v>221430</v>
      </c>
      <c r="E67" s="97">
        <v>1149780</v>
      </c>
      <c r="F67" s="97">
        <f>SUM(C67:E67)</f>
        <v>17318740</v>
      </c>
    </row>
    <row r="68" spans="1:8" ht="12.75">
      <c r="A68" s="147"/>
      <c r="B68" s="12" t="s">
        <v>248</v>
      </c>
      <c r="C68" s="95">
        <v>6161690</v>
      </c>
      <c r="D68" s="95">
        <v>7636980</v>
      </c>
      <c r="E68" s="95">
        <v>22229650</v>
      </c>
      <c r="F68" s="95">
        <f>SUM(C68:E68)</f>
        <v>36028320</v>
      </c>
      <c r="H68" s="165"/>
    </row>
    <row r="69" spans="3:6" ht="4.5" customHeight="1">
      <c r="C69" s="15"/>
      <c r="D69" s="15"/>
      <c r="E69" s="15"/>
      <c r="F69" s="15"/>
    </row>
    <row r="70" spans="1:8" ht="12" customHeight="1">
      <c r="A70" s="15"/>
      <c r="B70" s="18" t="s">
        <v>249</v>
      </c>
      <c r="C70" s="18">
        <f>SUM(C65,C67:C68)</f>
        <v>12500693960</v>
      </c>
      <c r="D70" s="18">
        <f>SUM(D65,D67:D68)</f>
        <v>2003872380</v>
      </c>
      <c r="E70" s="18">
        <f>SUM(E65,E67:E68)</f>
        <v>6037547680</v>
      </c>
      <c r="F70" s="18">
        <f>SUM(F65,F67:F68)</f>
        <v>20542114020</v>
      </c>
      <c r="G70" s="15"/>
      <c r="H70" s="166"/>
    </row>
    <row r="71" spans="1:8" ht="4.5" customHeight="1">
      <c r="A71" s="4"/>
      <c r="B71" s="4"/>
      <c r="C71" s="15"/>
      <c r="D71" s="15"/>
      <c r="E71" s="15"/>
      <c r="F71" s="15"/>
      <c r="G71" s="15"/>
      <c r="H71" s="15"/>
    </row>
    <row r="72" spans="1:11" ht="12" customHeight="1">
      <c r="A72" s="380" t="s">
        <v>354</v>
      </c>
      <c r="B72" s="4" t="s">
        <v>307</v>
      </c>
      <c r="C72" s="120"/>
      <c r="D72" s="120"/>
      <c r="E72" s="120"/>
      <c r="F72" s="120"/>
      <c r="G72" s="120"/>
      <c r="H72" s="120"/>
      <c r="I72" s="121"/>
      <c r="J72" s="121"/>
      <c r="K72" s="121"/>
    </row>
    <row r="73" spans="1:11" ht="12" customHeight="1">
      <c r="A73" s="365"/>
      <c r="B73" s="350"/>
      <c r="C73" s="120"/>
      <c r="D73" s="120"/>
      <c r="E73" s="120"/>
      <c r="F73" s="120"/>
      <c r="G73" s="120"/>
      <c r="H73" s="120"/>
      <c r="I73" s="121"/>
      <c r="J73" s="121"/>
      <c r="K73" s="121"/>
    </row>
    <row r="74" spans="1:11" ht="12" customHeight="1">
      <c r="A74" s="4"/>
      <c r="B74" s="350"/>
      <c r="C74" s="120"/>
      <c r="D74" s="120"/>
      <c r="E74" s="120"/>
      <c r="F74" s="120"/>
      <c r="G74" s="120"/>
      <c r="H74" s="120"/>
      <c r="I74" s="121"/>
      <c r="J74" s="121"/>
      <c r="K74" s="121"/>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4">
    <pageSetUpPr fitToPage="1"/>
  </sheetPr>
  <dimension ref="A1:G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4" width="21.83203125" style="79" customWidth="1"/>
    <col min="5" max="5" width="23.83203125" style="79" customWidth="1"/>
    <col min="6" max="6" width="4.83203125" style="79" customWidth="1"/>
    <col min="7" max="7" width="26.83203125" style="79" customWidth="1"/>
    <col min="8" max="16384" width="15.83203125" style="79" customWidth="1"/>
  </cols>
  <sheetData>
    <row r="1" spans="1:2" ht="6.75" customHeight="1">
      <c r="A1" s="15"/>
      <c r="B1" s="77"/>
    </row>
    <row r="2" spans="1:7" ht="12.75">
      <c r="A2" s="9"/>
      <c r="B2" s="103"/>
      <c r="C2" s="104" t="s">
        <v>174</v>
      </c>
      <c r="D2" s="104"/>
      <c r="E2" s="104"/>
      <c r="F2" s="282"/>
      <c r="G2" s="282"/>
    </row>
    <row r="3" spans="1:7" ht="12.75">
      <c r="A3" s="10"/>
      <c r="B3" s="106"/>
      <c r="C3" s="137" t="str">
        <f>TAXYEAR</f>
        <v>FOR THE 2001 TAXATION YEAR</v>
      </c>
      <c r="D3" s="137"/>
      <c r="E3" s="137"/>
      <c r="F3" s="312"/>
      <c r="G3" s="312"/>
    </row>
    <row r="4" spans="1:7" ht="12.75">
      <c r="A4" s="8"/>
      <c r="C4" s="139"/>
      <c r="D4" s="139"/>
      <c r="E4" s="139"/>
      <c r="F4" s="139"/>
      <c r="G4" s="139"/>
    </row>
    <row r="5" spans="1:7" ht="12.75">
      <c r="A5" s="8"/>
      <c r="C5" s="54"/>
      <c r="D5" s="139"/>
      <c r="E5" s="139"/>
      <c r="F5" s="139"/>
      <c r="G5" s="139"/>
    </row>
    <row r="6" spans="1:7" ht="12.75">
      <c r="A6" s="8"/>
      <c r="C6" s="139"/>
      <c r="D6" s="139"/>
      <c r="E6" s="139"/>
      <c r="F6" s="139"/>
      <c r="G6" s="139"/>
    </row>
    <row r="7" spans="1:7" ht="12.75">
      <c r="A7" s="15"/>
      <c r="C7" s="140" t="s">
        <v>99</v>
      </c>
      <c r="D7" s="141"/>
      <c r="E7" s="141"/>
      <c r="F7" s="139"/>
      <c r="G7" s="141" t="s">
        <v>201</v>
      </c>
    </row>
    <row r="8" spans="1:7" ht="12.75">
      <c r="A8" s="91"/>
      <c r="B8" s="43"/>
      <c r="C8" s="142" t="s">
        <v>231</v>
      </c>
      <c r="D8" s="143"/>
      <c r="E8" s="143"/>
      <c r="F8" s="139"/>
      <c r="G8" s="142" t="s">
        <v>76</v>
      </c>
    </row>
    <row r="9" spans="1:7" ht="16.5">
      <c r="A9" s="49" t="s">
        <v>101</v>
      </c>
      <c r="B9" s="50" t="s">
        <v>102</v>
      </c>
      <c r="C9" s="144" t="s">
        <v>229</v>
      </c>
      <c r="D9" s="144" t="s">
        <v>245</v>
      </c>
      <c r="E9" s="144" t="s">
        <v>70</v>
      </c>
      <c r="F9" s="139"/>
      <c r="G9" s="144" t="s">
        <v>413</v>
      </c>
    </row>
    <row r="10" spans="1:7" ht="4.5" customHeight="1">
      <c r="A10" s="74"/>
      <c r="B10" s="74"/>
      <c r="C10" s="145"/>
      <c r="D10" s="145"/>
      <c r="E10" s="145"/>
      <c r="F10" s="3"/>
      <c r="G10" s="145"/>
    </row>
    <row r="11" spans="1:7" ht="12.75" customHeight="1">
      <c r="A11" s="358">
        <v>1</v>
      </c>
      <c r="B11" s="12" t="s">
        <v>116</v>
      </c>
      <c r="C11" s="12">
        <f>'- 51 -'!H11</f>
        <v>46308750.0498</v>
      </c>
      <c r="D11" s="12">
        <v>99491180</v>
      </c>
      <c r="E11" s="12">
        <f aca="true" t="shared" si="0" ref="E11:E63">SUM(C11,D11)</f>
        <v>145799930.0498</v>
      </c>
      <c r="G11" s="12">
        <v>122725</v>
      </c>
    </row>
    <row r="12" spans="1:7" ht="12.75" customHeight="1">
      <c r="A12" s="359">
        <v>2</v>
      </c>
      <c r="B12" s="14" t="s">
        <v>117</v>
      </c>
      <c r="C12" s="14">
        <f>'- 51 -'!H12</f>
        <v>16702752.162</v>
      </c>
      <c r="D12" s="14">
        <v>24194252.75</v>
      </c>
      <c r="E12" s="14">
        <f t="shared" si="0"/>
        <v>40897004.912</v>
      </c>
      <c r="G12" s="14">
        <v>158372</v>
      </c>
    </row>
    <row r="13" spans="1:7" ht="12.75" customHeight="1">
      <c r="A13" s="358">
        <v>3</v>
      </c>
      <c r="B13" s="12" t="s">
        <v>118</v>
      </c>
      <c r="C13" s="12">
        <f>'- 51 -'!H13</f>
        <v>8655993.8166</v>
      </c>
      <c r="D13" s="12">
        <v>21506115</v>
      </c>
      <c r="E13" s="12">
        <f t="shared" si="0"/>
        <v>30162108.816600002</v>
      </c>
      <c r="G13" s="12">
        <v>155267</v>
      </c>
    </row>
    <row r="14" spans="1:7" ht="12.75" customHeight="1">
      <c r="A14" s="359">
        <v>4</v>
      </c>
      <c r="B14" s="14" t="s">
        <v>119</v>
      </c>
      <c r="C14" s="14">
        <f>'- 51 -'!H14</f>
        <v>9859555.0728</v>
      </c>
      <c r="D14" s="14">
        <v>20128706</v>
      </c>
      <c r="E14" s="14">
        <f t="shared" si="0"/>
        <v>29988261.0728</v>
      </c>
      <c r="G14" s="14">
        <v>129514</v>
      </c>
    </row>
    <row r="15" spans="1:7" ht="12.75" customHeight="1">
      <c r="A15" s="358">
        <v>5</v>
      </c>
      <c r="B15" s="12" t="s">
        <v>120</v>
      </c>
      <c r="C15" s="12">
        <f>'- 51 -'!H15</f>
        <v>12793842.0726</v>
      </c>
      <c r="D15" s="12">
        <v>24842481</v>
      </c>
      <c r="E15" s="12">
        <f t="shared" si="0"/>
        <v>37636323.0726</v>
      </c>
      <c r="G15" s="12">
        <v>155995</v>
      </c>
    </row>
    <row r="16" spans="1:7" ht="12.75" customHeight="1">
      <c r="A16" s="359">
        <v>6</v>
      </c>
      <c r="B16" s="14" t="s">
        <v>121</v>
      </c>
      <c r="C16" s="14">
        <f>'- 51 -'!H16</f>
        <v>9595664.8506</v>
      </c>
      <c r="D16" s="14">
        <v>22263662</v>
      </c>
      <c r="E16" s="14">
        <f t="shared" si="0"/>
        <v>31859326.8506</v>
      </c>
      <c r="G16" s="14">
        <v>105262</v>
      </c>
    </row>
    <row r="17" spans="1:7" ht="12.75" customHeight="1">
      <c r="A17" s="358">
        <v>9</v>
      </c>
      <c r="B17" s="12" t="s">
        <v>122</v>
      </c>
      <c r="C17" s="12">
        <f>'- 51 -'!H17</f>
        <v>11349308.58</v>
      </c>
      <c r="D17" s="12">
        <v>27434327</v>
      </c>
      <c r="E17" s="12">
        <f t="shared" si="0"/>
        <v>38783635.58</v>
      </c>
      <c r="G17" s="12">
        <v>102069</v>
      </c>
    </row>
    <row r="18" spans="1:7" ht="12.75" customHeight="1">
      <c r="A18" s="359">
        <v>10</v>
      </c>
      <c r="B18" s="14" t="s">
        <v>123</v>
      </c>
      <c r="C18" s="14">
        <f>'- 51 -'!H18</f>
        <v>8174087.9778</v>
      </c>
      <c r="D18" s="14">
        <v>23212903</v>
      </c>
      <c r="E18" s="14">
        <f t="shared" si="0"/>
        <v>31386990.9778</v>
      </c>
      <c r="G18" s="14">
        <v>100750</v>
      </c>
    </row>
    <row r="19" spans="1:7" ht="12.75" customHeight="1">
      <c r="A19" s="358">
        <v>11</v>
      </c>
      <c r="B19" s="12" t="s">
        <v>124</v>
      </c>
      <c r="C19" s="12">
        <f>'- 51 -'!H19</f>
        <v>5641016.598</v>
      </c>
      <c r="D19" s="12">
        <v>11633347</v>
      </c>
      <c r="E19" s="12">
        <f t="shared" si="0"/>
        <v>17274363.598</v>
      </c>
      <c r="G19" s="12">
        <v>135105</v>
      </c>
    </row>
    <row r="20" spans="1:7" ht="12.75" customHeight="1">
      <c r="A20" s="359">
        <v>12</v>
      </c>
      <c r="B20" s="14" t="s">
        <v>125</v>
      </c>
      <c r="C20" s="14">
        <f>'- 51 -'!H20</f>
        <v>9482775.685800001</v>
      </c>
      <c r="D20" s="14">
        <v>19095729</v>
      </c>
      <c r="E20" s="14">
        <f t="shared" si="0"/>
        <v>28578504.6858</v>
      </c>
      <c r="G20" s="14">
        <v>110227</v>
      </c>
    </row>
    <row r="21" spans="1:7" ht="12.75" customHeight="1">
      <c r="A21" s="358">
        <v>13</v>
      </c>
      <c r="B21" s="12" t="s">
        <v>126</v>
      </c>
      <c r="C21" s="12">
        <f>'- 51 -'!H21</f>
        <v>3268803.4151999997</v>
      </c>
      <c r="D21" s="12">
        <v>7458791.375</v>
      </c>
      <c r="E21" s="12">
        <f t="shared" si="0"/>
        <v>10727594.790199999</v>
      </c>
      <c r="G21" s="12">
        <v>138558</v>
      </c>
    </row>
    <row r="22" spans="1:7" ht="12.75" customHeight="1">
      <c r="A22" s="359">
        <v>14</v>
      </c>
      <c r="B22" s="14" t="s">
        <v>127</v>
      </c>
      <c r="C22" s="14">
        <f>'- 51 -'!H22</f>
        <v>3702507.5616</v>
      </c>
      <c r="D22" s="14">
        <v>9382053</v>
      </c>
      <c r="E22" s="14">
        <f t="shared" si="0"/>
        <v>13084560.5616</v>
      </c>
      <c r="G22" s="14">
        <v>85266</v>
      </c>
    </row>
    <row r="23" spans="1:7" ht="12.75" customHeight="1">
      <c r="A23" s="358">
        <v>15</v>
      </c>
      <c r="B23" s="12" t="s">
        <v>128</v>
      </c>
      <c r="C23" s="12">
        <f>'- 51 -'!H23</f>
        <v>4579577.440199999</v>
      </c>
      <c r="D23" s="12">
        <v>7284018</v>
      </c>
      <c r="E23" s="12">
        <f t="shared" si="0"/>
        <v>11863595.4402</v>
      </c>
      <c r="G23" s="12">
        <v>85370</v>
      </c>
    </row>
    <row r="24" spans="1:7" ht="12.75" customHeight="1">
      <c r="A24" s="359">
        <v>16</v>
      </c>
      <c r="B24" s="14" t="s">
        <v>129</v>
      </c>
      <c r="C24" s="14">
        <f>'- 51 -'!H24</f>
        <v>680041.0458</v>
      </c>
      <c r="D24" s="14">
        <v>2081432</v>
      </c>
      <c r="E24" s="14">
        <f t="shared" si="0"/>
        <v>2761473.0458</v>
      </c>
      <c r="G24" s="14">
        <v>134719</v>
      </c>
    </row>
    <row r="25" spans="1:7" ht="12.75" customHeight="1">
      <c r="A25" s="358">
        <v>17</v>
      </c>
      <c r="B25" s="12" t="s">
        <v>130</v>
      </c>
      <c r="C25" s="12">
        <f>'- 51 -'!H25</f>
        <v>961624.6428</v>
      </c>
      <c r="D25" s="12">
        <v>2553113</v>
      </c>
      <c r="E25" s="12">
        <f t="shared" si="0"/>
        <v>3514737.6428</v>
      </c>
      <c r="G25" s="12">
        <v>112906</v>
      </c>
    </row>
    <row r="26" spans="1:7" ht="12.75" customHeight="1">
      <c r="A26" s="359">
        <v>18</v>
      </c>
      <c r="B26" s="14" t="s">
        <v>131</v>
      </c>
      <c r="C26" s="14">
        <f>'- 51 -'!H26</f>
        <v>1211546.3502</v>
      </c>
      <c r="D26" s="14">
        <v>2845000</v>
      </c>
      <c r="E26" s="14">
        <f t="shared" si="0"/>
        <v>4056546.3502</v>
      </c>
      <c r="G26" s="14">
        <v>114100</v>
      </c>
    </row>
    <row r="27" spans="1:7" ht="12.75" customHeight="1">
      <c r="A27" s="358">
        <v>19</v>
      </c>
      <c r="B27" s="12" t="s">
        <v>132</v>
      </c>
      <c r="C27" s="12">
        <f>'- 51 -'!H27</f>
        <v>1849924.6302</v>
      </c>
      <c r="D27" s="12">
        <v>3845300</v>
      </c>
      <c r="E27" s="12">
        <f t="shared" si="0"/>
        <v>5695224.6302000005</v>
      </c>
      <c r="G27" s="12">
        <v>145033</v>
      </c>
    </row>
    <row r="28" spans="1:7" ht="12.75" customHeight="1">
      <c r="A28" s="359">
        <v>20</v>
      </c>
      <c r="B28" s="14" t="s">
        <v>133</v>
      </c>
      <c r="C28" s="14">
        <f>'- 51 -'!H28</f>
        <v>1216858.6638</v>
      </c>
      <c r="D28" s="14">
        <v>3336234.2</v>
      </c>
      <c r="E28" s="14">
        <f t="shared" si="0"/>
        <v>4553092.8638</v>
      </c>
      <c r="G28" s="14">
        <v>128275</v>
      </c>
    </row>
    <row r="29" spans="1:7" ht="12.75" customHeight="1">
      <c r="A29" s="358">
        <v>21</v>
      </c>
      <c r="B29" s="12" t="s">
        <v>134</v>
      </c>
      <c r="C29" s="12">
        <f>'- 51 -'!H29</f>
        <v>3134529.1878</v>
      </c>
      <c r="D29" s="12">
        <v>7606000</v>
      </c>
      <c r="E29" s="12">
        <f t="shared" si="0"/>
        <v>10740529.1878</v>
      </c>
      <c r="G29" s="12">
        <v>109224</v>
      </c>
    </row>
    <row r="30" spans="1:7" ht="12.75" customHeight="1">
      <c r="A30" s="359">
        <v>22</v>
      </c>
      <c r="B30" s="14" t="s">
        <v>135</v>
      </c>
      <c r="C30" s="14">
        <f>'- 51 -'!H30</f>
        <v>2726466.0858</v>
      </c>
      <c r="D30" s="14">
        <v>5022173</v>
      </c>
      <c r="E30" s="14">
        <f t="shared" si="0"/>
        <v>7748639.0858</v>
      </c>
      <c r="G30" s="14">
        <v>177214</v>
      </c>
    </row>
    <row r="31" spans="1:7" ht="12.75" customHeight="1">
      <c r="A31" s="358">
        <v>23</v>
      </c>
      <c r="B31" s="12" t="s">
        <v>136</v>
      </c>
      <c r="C31" s="12">
        <f>'- 51 -'!H31</f>
        <v>768075.1074</v>
      </c>
      <c r="D31" s="12">
        <v>2533745</v>
      </c>
      <c r="E31" s="12">
        <f t="shared" si="0"/>
        <v>3301820.1074</v>
      </c>
      <c r="G31" s="12">
        <v>89350</v>
      </c>
    </row>
    <row r="32" spans="1:7" ht="12.75" customHeight="1">
      <c r="A32" s="359">
        <v>24</v>
      </c>
      <c r="B32" s="14" t="s">
        <v>137</v>
      </c>
      <c r="C32" s="14">
        <f>'- 51 -'!H32</f>
        <v>4228931.152799999</v>
      </c>
      <c r="D32" s="14">
        <v>7679480.68</v>
      </c>
      <c r="E32" s="14">
        <f t="shared" si="0"/>
        <v>11908411.832799999</v>
      </c>
      <c r="G32" s="14">
        <v>122823</v>
      </c>
    </row>
    <row r="33" spans="1:7" ht="12.75" customHeight="1">
      <c r="A33" s="358">
        <v>25</v>
      </c>
      <c r="B33" s="12" t="s">
        <v>138</v>
      </c>
      <c r="C33" s="12">
        <f>'- 51 -'!H33</f>
        <v>1010172.2339999999</v>
      </c>
      <c r="D33" s="12">
        <v>3638151</v>
      </c>
      <c r="E33" s="12">
        <f t="shared" si="0"/>
        <v>4648323.234</v>
      </c>
      <c r="G33" s="12">
        <v>137023</v>
      </c>
    </row>
    <row r="34" spans="1:7" ht="12.75" customHeight="1">
      <c r="A34" s="359">
        <v>26</v>
      </c>
      <c r="B34" s="14" t="s">
        <v>139</v>
      </c>
      <c r="C34" s="14">
        <f>'- 51 -'!H34</f>
        <v>2168966.1780000003</v>
      </c>
      <c r="D34" s="14">
        <v>4144500</v>
      </c>
      <c r="E34" s="14">
        <f t="shared" si="0"/>
        <v>6313466.178</v>
      </c>
      <c r="G34" s="14">
        <v>90952</v>
      </c>
    </row>
    <row r="35" spans="1:7" ht="12.75" customHeight="1">
      <c r="A35" s="358">
        <v>28</v>
      </c>
      <c r="B35" s="12" t="s">
        <v>140</v>
      </c>
      <c r="C35" s="12">
        <f>'- 51 -'!H35</f>
        <v>636128.0754</v>
      </c>
      <c r="D35" s="12">
        <v>2317425</v>
      </c>
      <c r="E35" s="12">
        <f t="shared" si="0"/>
        <v>2953553.0754</v>
      </c>
      <c r="G35" s="12">
        <v>98092</v>
      </c>
    </row>
    <row r="36" spans="1:7" ht="12.75" customHeight="1">
      <c r="A36" s="359">
        <v>30</v>
      </c>
      <c r="B36" s="14" t="s">
        <v>141</v>
      </c>
      <c r="C36" s="14">
        <f>'- 51 -'!H36</f>
        <v>1138285.5204</v>
      </c>
      <c r="D36" s="14">
        <v>3032643</v>
      </c>
      <c r="E36" s="14">
        <f t="shared" si="0"/>
        <v>4170928.5204</v>
      </c>
      <c r="G36" s="14">
        <v>109582</v>
      </c>
    </row>
    <row r="37" spans="1:7" ht="12.75" customHeight="1">
      <c r="A37" s="358">
        <v>31</v>
      </c>
      <c r="B37" s="12" t="s">
        <v>142</v>
      </c>
      <c r="C37" s="12">
        <f>'- 51 -'!H37</f>
        <v>1881811.5798</v>
      </c>
      <c r="D37" s="12">
        <v>3540818</v>
      </c>
      <c r="E37" s="12">
        <f t="shared" si="0"/>
        <v>5422629.5798</v>
      </c>
      <c r="G37" s="12">
        <v>125213</v>
      </c>
    </row>
    <row r="38" spans="1:7" ht="12.75" customHeight="1">
      <c r="A38" s="359">
        <v>32</v>
      </c>
      <c r="B38" s="14" t="s">
        <v>143</v>
      </c>
      <c r="C38" s="14">
        <f>'- 51 -'!H38</f>
        <v>446376.6786</v>
      </c>
      <c r="D38" s="14">
        <v>1796692</v>
      </c>
      <c r="E38" s="14">
        <f t="shared" si="0"/>
        <v>2243068.6786</v>
      </c>
      <c r="G38" s="14">
        <v>94948</v>
      </c>
    </row>
    <row r="39" spans="1:7" ht="12.75" customHeight="1">
      <c r="A39" s="358">
        <v>33</v>
      </c>
      <c r="B39" s="12" t="s">
        <v>144</v>
      </c>
      <c r="C39" s="12">
        <f>'- 51 -'!H39</f>
        <v>1657314.9744</v>
      </c>
      <c r="D39" s="12">
        <v>3864916</v>
      </c>
      <c r="E39" s="12">
        <f t="shared" si="0"/>
        <v>5522230.9744</v>
      </c>
      <c r="G39" s="12">
        <v>101267</v>
      </c>
    </row>
    <row r="40" spans="1:7" ht="12.75" customHeight="1">
      <c r="A40" s="359">
        <v>34</v>
      </c>
      <c r="B40" s="14" t="s">
        <v>145</v>
      </c>
      <c r="C40" s="14">
        <f>'- 51 -'!H40</f>
        <v>189664.794</v>
      </c>
      <c r="D40" s="14">
        <v>1041747</v>
      </c>
      <c r="E40" s="14">
        <f t="shared" si="0"/>
        <v>1231411.794</v>
      </c>
      <c r="G40" s="14">
        <v>62434</v>
      </c>
    </row>
    <row r="41" spans="1:7" ht="12.75" customHeight="1">
      <c r="A41" s="358">
        <v>35</v>
      </c>
      <c r="B41" s="12" t="s">
        <v>146</v>
      </c>
      <c r="C41" s="12">
        <f>'- 51 -'!H41</f>
        <v>1429820.544</v>
      </c>
      <c r="D41" s="12">
        <v>3961491</v>
      </c>
      <c r="E41" s="12">
        <f t="shared" si="0"/>
        <v>5391311.544</v>
      </c>
      <c r="G41" s="12">
        <v>98807</v>
      </c>
    </row>
    <row r="42" spans="1:7" ht="12.75" customHeight="1">
      <c r="A42" s="359">
        <v>36</v>
      </c>
      <c r="B42" s="14" t="s">
        <v>147</v>
      </c>
      <c r="C42" s="14">
        <f>'- 51 -'!H42</f>
        <v>754506.3348000001</v>
      </c>
      <c r="D42" s="14">
        <v>2566518</v>
      </c>
      <c r="E42" s="14">
        <f t="shared" si="0"/>
        <v>3321024.3348000003</v>
      </c>
      <c r="G42" s="14">
        <v>119533</v>
      </c>
    </row>
    <row r="43" spans="1:7" ht="12.75" customHeight="1">
      <c r="A43" s="358">
        <v>37</v>
      </c>
      <c r="B43" s="12" t="s">
        <v>148</v>
      </c>
      <c r="C43" s="12">
        <f>'- 51 -'!H43</f>
        <v>765281.6994</v>
      </c>
      <c r="D43" s="12">
        <v>2315940</v>
      </c>
      <c r="E43" s="12">
        <f t="shared" si="0"/>
        <v>3081221.6994000003</v>
      </c>
      <c r="G43" s="12">
        <v>118840</v>
      </c>
    </row>
    <row r="44" spans="1:7" ht="12.75" customHeight="1">
      <c r="A44" s="359">
        <v>38</v>
      </c>
      <c r="B44" s="14" t="s">
        <v>149</v>
      </c>
      <c r="C44" s="14">
        <f>'- 51 -'!H44</f>
        <v>1479346.8732</v>
      </c>
      <c r="D44" s="14">
        <v>3493801</v>
      </c>
      <c r="E44" s="14">
        <f t="shared" si="0"/>
        <v>4973147.8732</v>
      </c>
      <c r="G44" s="14">
        <v>136088</v>
      </c>
    </row>
    <row r="45" spans="1:7" ht="12.75" customHeight="1">
      <c r="A45" s="358">
        <v>39</v>
      </c>
      <c r="B45" s="12" t="s">
        <v>150</v>
      </c>
      <c r="C45" s="12">
        <f>'- 51 -'!H45</f>
        <v>2231001.8658</v>
      </c>
      <c r="D45" s="12">
        <v>4777022</v>
      </c>
      <c r="E45" s="12">
        <f t="shared" si="0"/>
        <v>7008023.8658</v>
      </c>
      <c r="G45" s="12">
        <v>120452</v>
      </c>
    </row>
    <row r="46" spans="1:7" ht="12.75" customHeight="1">
      <c r="A46" s="359">
        <v>40</v>
      </c>
      <c r="B46" s="14" t="s">
        <v>151</v>
      </c>
      <c r="C46" s="14">
        <f>'- 51 -'!H46</f>
        <v>11130037.0356</v>
      </c>
      <c r="D46" s="14">
        <v>15922500</v>
      </c>
      <c r="E46" s="14">
        <f t="shared" si="0"/>
        <v>27052537.0356</v>
      </c>
      <c r="G46" s="14">
        <v>129599</v>
      </c>
    </row>
    <row r="47" spans="1:7" ht="12.75" customHeight="1">
      <c r="A47" s="358">
        <v>41</v>
      </c>
      <c r="B47" s="12" t="s">
        <v>152</v>
      </c>
      <c r="C47" s="12">
        <f>'- 51 -'!H47</f>
        <v>2364495.648</v>
      </c>
      <c r="D47" s="12">
        <v>4589711</v>
      </c>
      <c r="E47" s="12">
        <f t="shared" si="0"/>
        <v>6954206.648</v>
      </c>
      <c r="G47" s="12">
        <v>151586</v>
      </c>
    </row>
    <row r="48" spans="1:7" ht="12.75" customHeight="1">
      <c r="A48" s="359">
        <v>42</v>
      </c>
      <c r="B48" s="14" t="s">
        <v>153</v>
      </c>
      <c r="C48" s="14">
        <f>'- 51 -'!H48</f>
        <v>1109901.3798</v>
      </c>
      <c r="D48" s="14">
        <v>3113615</v>
      </c>
      <c r="E48" s="14">
        <f t="shared" si="0"/>
        <v>4223516.3798</v>
      </c>
      <c r="G48" s="14">
        <v>132423</v>
      </c>
    </row>
    <row r="49" spans="1:7" ht="12.75" customHeight="1">
      <c r="A49" s="358">
        <v>43</v>
      </c>
      <c r="B49" s="12" t="s">
        <v>154</v>
      </c>
      <c r="C49" s="12">
        <f>'- 51 -'!H49</f>
        <v>815857.572</v>
      </c>
      <c r="D49" s="12">
        <v>2674333</v>
      </c>
      <c r="E49" s="12">
        <f t="shared" si="0"/>
        <v>3490190.572</v>
      </c>
      <c r="G49" s="12">
        <v>166653</v>
      </c>
    </row>
    <row r="50" spans="1:7" ht="12.75" customHeight="1">
      <c r="A50" s="359">
        <v>44</v>
      </c>
      <c r="B50" s="14" t="s">
        <v>155</v>
      </c>
      <c r="C50" s="14">
        <f>'- 51 -'!H50</f>
        <v>1011560.4906</v>
      </c>
      <c r="D50" s="14">
        <v>3383514</v>
      </c>
      <c r="E50" s="14">
        <f t="shared" si="0"/>
        <v>4395074.4906</v>
      </c>
      <c r="G50" s="14">
        <v>116342</v>
      </c>
    </row>
    <row r="51" spans="1:7" ht="12.75" customHeight="1">
      <c r="A51" s="358">
        <v>45</v>
      </c>
      <c r="B51" s="12" t="s">
        <v>156</v>
      </c>
      <c r="C51" s="12">
        <f>'- 51 -'!H51</f>
        <v>1508034.3006000002</v>
      </c>
      <c r="D51" s="12">
        <v>2812358</v>
      </c>
      <c r="E51" s="12">
        <f t="shared" si="0"/>
        <v>4320392.3006</v>
      </c>
      <c r="G51" s="12">
        <v>77607</v>
      </c>
    </row>
    <row r="52" spans="1:7" ht="12.75" customHeight="1">
      <c r="A52" s="359">
        <v>46</v>
      </c>
      <c r="B52" s="14" t="s">
        <v>157</v>
      </c>
      <c r="C52" s="14">
        <f>'- 51 -'!H52</f>
        <v>759447.9852</v>
      </c>
      <c r="D52" s="14">
        <v>2843511</v>
      </c>
      <c r="E52" s="14">
        <f t="shared" si="0"/>
        <v>3602958.9852</v>
      </c>
      <c r="G52" s="14">
        <v>72532</v>
      </c>
    </row>
    <row r="53" spans="1:7" ht="12.75" customHeight="1">
      <c r="A53" s="358">
        <v>47</v>
      </c>
      <c r="B53" s="12" t="s">
        <v>158</v>
      </c>
      <c r="C53" s="12">
        <f>'- 51 -'!H53</f>
        <v>1424044.494</v>
      </c>
      <c r="D53" s="12">
        <v>2929411</v>
      </c>
      <c r="E53" s="12">
        <f t="shared" si="0"/>
        <v>4353455.494</v>
      </c>
      <c r="G53" s="12">
        <v>103342</v>
      </c>
    </row>
    <row r="54" spans="1:7" ht="12.75" customHeight="1">
      <c r="A54" s="359">
        <v>48</v>
      </c>
      <c r="B54" s="14" t="s">
        <v>159</v>
      </c>
      <c r="C54" s="14">
        <f>'- 51 -'!H54</f>
        <v>626595.2087999999</v>
      </c>
      <c r="D54" s="14">
        <v>1238656</v>
      </c>
      <c r="E54" s="14">
        <f t="shared" si="0"/>
        <v>1865251.2088</v>
      </c>
      <c r="G54" s="14">
        <v>23117</v>
      </c>
    </row>
    <row r="55" spans="1:7" ht="12.75" customHeight="1">
      <c r="A55" s="358">
        <v>49</v>
      </c>
      <c r="B55" s="12" t="s">
        <v>160</v>
      </c>
      <c r="C55" s="12">
        <f>'- 51 -'!H55</f>
        <v>0</v>
      </c>
      <c r="D55" s="12"/>
      <c r="E55" s="12">
        <f t="shared" si="0"/>
        <v>0</v>
      </c>
      <c r="G55" s="12">
        <v>109473</v>
      </c>
    </row>
    <row r="56" spans="1:7" ht="12.75" customHeight="1">
      <c r="A56" s="359">
        <v>50</v>
      </c>
      <c r="B56" s="14" t="s">
        <v>343</v>
      </c>
      <c r="C56" s="14">
        <f>'- 51 -'!H56</f>
        <v>1303797.4775999999</v>
      </c>
      <c r="D56" s="14">
        <v>5291894</v>
      </c>
      <c r="E56" s="14">
        <f t="shared" si="0"/>
        <v>6595691.4776</v>
      </c>
      <c r="G56" s="14">
        <v>129317</v>
      </c>
    </row>
    <row r="57" spans="1:7" ht="12.75" customHeight="1">
      <c r="A57" s="358">
        <v>2264</v>
      </c>
      <c r="B57" s="12" t="s">
        <v>161</v>
      </c>
      <c r="C57" s="12">
        <f>'- 51 -'!H57</f>
        <v>185345.679</v>
      </c>
      <c r="D57" s="12">
        <v>471795</v>
      </c>
      <c r="E57" s="12">
        <f t="shared" si="0"/>
        <v>657140.679</v>
      </c>
      <c r="G57" s="12">
        <v>66397</v>
      </c>
    </row>
    <row r="58" spans="1:7" ht="12.75" customHeight="1">
      <c r="A58" s="359">
        <v>2309</v>
      </c>
      <c r="B58" s="14" t="s">
        <v>162</v>
      </c>
      <c r="C58" s="14">
        <f>'- 51 -'!H58</f>
        <v>103443.036</v>
      </c>
      <c r="D58" s="14">
        <v>578010</v>
      </c>
      <c r="E58" s="14">
        <f t="shared" si="0"/>
        <v>681453.036</v>
      </c>
      <c r="G58" s="14">
        <v>54894</v>
      </c>
    </row>
    <row r="59" spans="1:7" ht="12.75" customHeight="1">
      <c r="A59" s="358">
        <v>2312</v>
      </c>
      <c r="B59" s="12" t="s">
        <v>163</v>
      </c>
      <c r="C59" s="12">
        <f>'- 51 -'!H59</f>
        <v>32909.8218</v>
      </c>
      <c r="D59" s="12">
        <v>100000</v>
      </c>
      <c r="E59" s="12">
        <f t="shared" si="0"/>
        <v>132909.8218</v>
      </c>
      <c r="G59" s="12">
        <v>14742</v>
      </c>
    </row>
    <row r="60" spans="1:7" ht="12.75" customHeight="1">
      <c r="A60" s="359">
        <v>2355</v>
      </c>
      <c r="B60" s="14" t="s">
        <v>164</v>
      </c>
      <c r="C60" s="14">
        <f>'- 51 -'!H60</f>
        <v>2044536.9876</v>
      </c>
      <c r="D60" s="14">
        <v>5691049.800000001</v>
      </c>
      <c r="E60" s="14">
        <f t="shared" si="0"/>
        <v>7735586.787600001</v>
      </c>
      <c r="G60" s="14">
        <v>72509</v>
      </c>
    </row>
    <row r="61" spans="1:7" ht="12.75" customHeight="1">
      <c r="A61" s="358">
        <v>2439</v>
      </c>
      <c r="B61" s="12" t="s">
        <v>165</v>
      </c>
      <c r="C61" s="12">
        <f>'- 51 -'!H61</f>
        <v>112517.97899999999</v>
      </c>
      <c r="D61" s="12">
        <v>214355</v>
      </c>
      <c r="E61" s="12">
        <f t="shared" si="0"/>
        <v>326872.979</v>
      </c>
      <c r="G61" s="12">
        <v>85203</v>
      </c>
    </row>
    <row r="62" spans="1:7" ht="12.75" customHeight="1">
      <c r="A62" s="359">
        <v>2460</v>
      </c>
      <c r="B62" s="14" t="s">
        <v>166</v>
      </c>
      <c r="C62" s="14">
        <f>'- 51 -'!H62</f>
        <v>232435.13880000002</v>
      </c>
      <c r="D62" s="14">
        <v>878244</v>
      </c>
      <c r="E62" s="14">
        <f t="shared" si="0"/>
        <v>1110679.1388</v>
      </c>
      <c r="G62" s="14">
        <v>56623</v>
      </c>
    </row>
    <row r="63" spans="1:7" ht="12.75" customHeight="1">
      <c r="A63" s="358">
        <v>3000</v>
      </c>
      <c r="B63" s="12" t="s">
        <v>366</v>
      </c>
      <c r="C63" s="12">
        <f>'- 51 -'!H63</f>
        <v>0</v>
      </c>
      <c r="D63" s="12"/>
      <c r="E63" s="12">
        <f t="shared" si="0"/>
        <v>0</v>
      </c>
      <c r="G63" s="12">
        <v>0</v>
      </c>
    </row>
    <row r="64" ht="4.5" customHeight="1"/>
    <row r="65" spans="1:7" ht="12" customHeight="1">
      <c r="A65" s="99"/>
      <c r="B65" s="18" t="s">
        <v>167</v>
      </c>
      <c r="C65" s="18">
        <f>SUM(C11:C63)</f>
        <v>207446269.73579994</v>
      </c>
      <c r="D65" s="18">
        <f>SUM(D11:D63)</f>
        <v>448654663.805</v>
      </c>
      <c r="E65" s="18">
        <f>SUM(E11:E63)</f>
        <v>656100933.5408</v>
      </c>
      <c r="G65" s="18">
        <v>116960</v>
      </c>
    </row>
    <row r="66" ht="4.5" customHeight="1"/>
    <row r="67" spans="1:2" ht="12" customHeight="1">
      <c r="A67" s="380" t="s">
        <v>354</v>
      </c>
      <c r="B67" s="267" t="s">
        <v>363</v>
      </c>
    </row>
    <row r="68" spans="1:4" ht="12" customHeight="1">
      <c r="A68" s="4"/>
      <c r="B68" s="267" t="s">
        <v>362</v>
      </c>
      <c r="D68" s="148"/>
    </row>
    <row r="69" spans="1:2" ht="12" customHeight="1">
      <c r="A69" s="4"/>
      <c r="B69" s="4" t="s">
        <v>361</v>
      </c>
    </row>
    <row r="70" spans="1:7" ht="12" customHeight="1">
      <c r="A70" s="4"/>
      <c r="B70" s="4" t="s">
        <v>364</v>
      </c>
      <c r="D70" s="120"/>
      <c r="E70" s="120"/>
      <c r="F70" s="121"/>
      <c r="G70" s="120"/>
    </row>
    <row r="71" spans="4:7" ht="12" customHeight="1">
      <c r="D71" s="120"/>
      <c r="E71" s="120"/>
      <c r="F71" s="121"/>
      <c r="G71" s="120"/>
    </row>
    <row r="72" spans="4:7" ht="12" customHeight="1">
      <c r="D72" s="120"/>
      <c r="E72" s="120"/>
      <c r="F72" s="121"/>
      <c r="G72" s="120"/>
    </row>
    <row r="73" spans="4:7" ht="12" customHeight="1">
      <c r="D73" s="120"/>
      <c r="E73" s="120"/>
      <c r="F73" s="121"/>
      <c r="G73" s="120"/>
    </row>
    <row r="74" spans="1:7" ht="12" customHeight="1">
      <c r="A74" s="4"/>
      <c r="B74" s="4"/>
      <c r="C74" s="120"/>
      <c r="D74" s="120"/>
      <c r="E74" s="120"/>
      <c r="F74" s="121"/>
      <c r="G74" s="12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79" customWidth="1"/>
    <col min="2" max="2" width="33.83203125" style="79" customWidth="1"/>
    <col min="3" max="3" width="21.83203125" style="79" customWidth="1"/>
    <col min="4" max="4" width="18.83203125" style="79" customWidth="1"/>
    <col min="5" max="5" width="19.83203125" style="79" customWidth="1"/>
    <col min="6" max="6" width="18.83203125" style="79" customWidth="1"/>
    <col min="7" max="16384" width="19.83203125" style="79" customWidth="1"/>
  </cols>
  <sheetData>
    <row r="1" spans="1:7" ht="6.75" customHeight="1">
      <c r="A1" s="15"/>
      <c r="B1" s="77"/>
      <c r="C1" s="77"/>
      <c r="D1" s="77"/>
      <c r="E1" s="77"/>
      <c r="F1" s="77"/>
      <c r="G1" s="77"/>
    </row>
    <row r="2" spans="1:7" ht="12.75">
      <c r="A2" s="9"/>
      <c r="B2" s="103"/>
      <c r="C2" s="133" t="str">
        <f>REVYEAR</f>
        <v>ANALYSIS OF OPERATING FUND REVENUE: 2001/2002 ACTUAL</v>
      </c>
      <c r="D2" s="133"/>
      <c r="E2" s="134"/>
      <c r="F2" s="134"/>
      <c r="G2" s="105" t="s">
        <v>375</v>
      </c>
    </row>
    <row r="3" spans="1:7" ht="12.75">
      <c r="A3" s="10"/>
      <c r="B3" s="106"/>
      <c r="C3" s="77"/>
      <c r="D3" s="77"/>
      <c r="E3" s="77"/>
      <c r="F3" s="77"/>
      <c r="G3" s="77"/>
    </row>
    <row r="4" spans="1:7" ht="12.75">
      <c r="A4" s="8"/>
      <c r="C4" s="108" t="s">
        <v>519</v>
      </c>
      <c r="D4" s="109"/>
      <c r="E4" s="109"/>
      <c r="F4" s="109"/>
      <c r="G4" s="110"/>
    </row>
    <row r="5" spans="1:7" ht="12.75">
      <c r="A5" s="8"/>
      <c r="C5" s="111" t="s">
        <v>517</v>
      </c>
      <c r="D5" s="112"/>
      <c r="E5" s="135"/>
      <c r="F5" s="135"/>
      <c r="G5" s="136"/>
    </row>
    <row r="6" spans="1:7" ht="12.75">
      <c r="A6" s="8"/>
      <c r="C6" s="122" t="s">
        <v>176</v>
      </c>
      <c r="D6" s="104"/>
      <c r="E6" s="104"/>
      <c r="F6" s="137"/>
      <c r="G6" s="138"/>
    </row>
    <row r="7" spans="1:7" ht="12.75">
      <c r="A7" s="15"/>
      <c r="C7" s="114" t="s">
        <v>184</v>
      </c>
      <c r="D7" s="43"/>
      <c r="E7" s="43"/>
      <c r="F7" s="43"/>
      <c r="G7" s="114" t="s">
        <v>185</v>
      </c>
    </row>
    <row r="8" spans="1:7" ht="12.75">
      <c r="A8" s="91"/>
      <c r="B8" s="43"/>
      <c r="C8" s="117" t="s">
        <v>202</v>
      </c>
      <c r="D8" s="117" t="s">
        <v>370</v>
      </c>
      <c r="E8" s="117" t="s">
        <v>371</v>
      </c>
      <c r="F8" s="117" t="s">
        <v>204</v>
      </c>
      <c r="G8" s="117" t="s">
        <v>200</v>
      </c>
    </row>
    <row r="9" spans="1:7" ht="16.5">
      <c r="A9" s="49" t="s">
        <v>101</v>
      </c>
      <c r="B9" s="50" t="s">
        <v>102</v>
      </c>
      <c r="C9" s="119" t="s">
        <v>414</v>
      </c>
      <c r="D9" s="119" t="s">
        <v>256</v>
      </c>
      <c r="E9" s="119" t="s">
        <v>29</v>
      </c>
      <c r="F9" s="119" t="s">
        <v>234</v>
      </c>
      <c r="G9" s="119" t="s">
        <v>415</v>
      </c>
    </row>
    <row r="10" spans="1:7" ht="4.5" customHeight="1">
      <c r="A10" s="74"/>
      <c r="B10" s="74"/>
      <c r="E10" s="77"/>
      <c r="F10" s="77"/>
      <c r="G10" s="77"/>
    </row>
    <row r="11" spans="1:7" ht="12.75">
      <c r="A11" s="358">
        <v>1</v>
      </c>
      <c r="B11" s="12" t="s">
        <v>116</v>
      </c>
      <c r="C11" s="405">
        <v>63979899</v>
      </c>
      <c r="D11" s="405">
        <v>1517598</v>
      </c>
      <c r="E11" s="405">
        <v>1213868</v>
      </c>
      <c r="F11" s="405">
        <v>2731301</v>
      </c>
      <c r="G11" s="405">
        <v>7672050</v>
      </c>
    </row>
    <row r="12" spans="1:7" ht="12.75">
      <c r="A12" s="359">
        <v>2</v>
      </c>
      <c r="B12" s="14" t="s">
        <v>117</v>
      </c>
      <c r="C12" s="406">
        <v>16182949</v>
      </c>
      <c r="D12" s="406">
        <v>461098</v>
      </c>
      <c r="E12" s="406">
        <v>364148</v>
      </c>
      <c r="F12" s="406">
        <v>807516</v>
      </c>
      <c r="G12" s="406">
        <v>2301300</v>
      </c>
    </row>
    <row r="13" spans="1:7" ht="12.75">
      <c r="A13" s="358">
        <v>3</v>
      </c>
      <c r="B13" s="12" t="s">
        <v>118</v>
      </c>
      <c r="C13" s="405">
        <v>12443426</v>
      </c>
      <c r="D13" s="405">
        <v>323350</v>
      </c>
      <c r="E13" s="405">
        <v>258680</v>
      </c>
      <c r="F13" s="405">
        <v>582105</v>
      </c>
      <c r="G13" s="405">
        <v>1634850</v>
      </c>
    </row>
    <row r="14" spans="1:7" ht="12.75">
      <c r="A14" s="359">
        <v>4</v>
      </c>
      <c r="B14" s="14" t="s">
        <v>119</v>
      </c>
      <c r="C14" s="406">
        <v>11723680</v>
      </c>
      <c r="D14" s="406">
        <v>231601</v>
      </c>
      <c r="E14" s="406">
        <v>235488</v>
      </c>
      <c r="F14" s="406">
        <v>529758</v>
      </c>
      <c r="G14" s="406">
        <v>1488150</v>
      </c>
    </row>
    <row r="15" spans="1:7" ht="12.75">
      <c r="A15" s="358">
        <v>5</v>
      </c>
      <c r="B15" s="12" t="s">
        <v>120</v>
      </c>
      <c r="C15" s="405">
        <v>13134400</v>
      </c>
      <c r="D15" s="405">
        <v>352335</v>
      </c>
      <c r="E15" s="405">
        <v>281868</v>
      </c>
      <c r="F15" s="405">
        <v>634001</v>
      </c>
      <c r="G15" s="405">
        <v>1781550</v>
      </c>
    </row>
    <row r="16" spans="1:7" ht="12.75">
      <c r="A16" s="359">
        <v>6</v>
      </c>
      <c r="B16" s="14" t="s">
        <v>121</v>
      </c>
      <c r="C16" s="406">
        <v>19199586</v>
      </c>
      <c r="D16" s="406">
        <v>401743</v>
      </c>
      <c r="E16" s="406">
        <v>353124</v>
      </c>
      <c r="F16" s="406">
        <v>794372</v>
      </c>
      <c r="G16" s="406">
        <v>2232000</v>
      </c>
    </row>
    <row r="17" spans="1:7" ht="12.75">
      <c r="A17" s="358">
        <v>9</v>
      </c>
      <c r="B17" s="12" t="s">
        <v>122</v>
      </c>
      <c r="C17" s="405">
        <v>27733420</v>
      </c>
      <c r="D17" s="405">
        <v>597632</v>
      </c>
      <c r="E17" s="405">
        <v>502476</v>
      </c>
      <c r="F17" s="405">
        <v>1130729</v>
      </c>
      <c r="G17" s="405">
        <v>3175650</v>
      </c>
    </row>
    <row r="18" spans="1:7" ht="12.75">
      <c r="A18" s="359">
        <v>10</v>
      </c>
      <c r="B18" s="14" t="s">
        <v>123</v>
      </c>
      <c r="C18" s="406">
        <v>18866303</v>
      </c>
      <c r="D18" s="406">
        <v>425245</v>
      </c>
      <c r="E18" s="406">
        <v>340196</v>
      </c>
      <c r="F18" s="406">
        <v>765224</v>
      </c>
      <c r="G18" s="406">
        <v>2150100</v>
      </c>
    </row>
    <row r="19" spans="1:7" ht="12.75">
      <c r="A19" s="358">
        <v>11</v>
      </c>
      <c r="B19" s="12" t="s">
        <v>124</v>
      </c>
      <c r="C19" s="405">
        <v>9067516</v>
      </c>
      <c r="D19" s="405">
        <v>228600</v>
      </c>
      <c r="E19" s="405">
        <v>182880</v>
      </c>
      <c r="F19" s="405">
        <v>411480</v>
      </c>
      <c r="G19" s="405">
        <v>1156050</v>
      </c>
    </row>
    <row r="20" spans="1:7" ht="12.75">
      <c r="A20" s="359">
        <v>12</v>
      </c>
      <c r="B20" s="14" t="s">
        <v>125</v>
      </c>
      <c r="C20" s="406">
        <v>16526155</v>
      </c>
      <c r="D20" s="406">
        <v>387580</v>
      </c>
      <c r="E20" s="406">
        <v>310064</v>
      </c>
      <c r="F20" s="406">
        <v>697674</v>
      </c>
      <c r="G20" s="406">
        <v>1959750</v>
      </c>
    </row>
    <row r="21" spans="1:7" ht="12.75">
      <c r="A21" s="358">
        <v>13</v>
      </c>
      <c r="B21" s="12" t="s">
        <v>126</v>
      </c>
      <c r="C21" s="405">
        <v>5078620</v>
      </c>
      <c r="D21" s="405">
        <v>131170</v>
      </c>
      <c r="E21" s="405">
        <v>104936</v>
      </c>
      <c r="F21" s="405">
        <v>219982</v>
      </c>
      <c r="G21" s="405">
        <v>663300</v>
      </c>
    </row>
    <row r="22" spans="1:7" ht="12.75">
      <c r="A22" s="359">
        <v>14</v>
      </c>
      <c r="B22" s="14" t="s">
        <v>127</v>
      </c>
      <c r="C22" s="406">
        <v>7658836</v>
      </c>
      <c r="D22" s="406">
        <v>174185</v>
      </c>
      <c r="E22" s="406">
        <v>139348</v>
      </c>
      <c r="F22" s="406">
        <v>313706</v>
      </c>
      <c r="G22" s="406">
        <v>880650</v>
      </c>
    </row>
    <row r="23" spans="1:7" ht="12.75">
      <c r="A23" s="358">
        <v>15</v>
      </c>
      <c r="B23" s="12" t="s">
        <v>128</v>
      </c>
      <c r="C23" s="405">
        <v>13500155</v>
      </c>
      <c r="D23" s="405">
        <v>293760</v>
      </c>
      <c r="E23" s="405">
        <v>235008</v>
      </c>
      <c r="F23" s="405">
        <v>460939</v>
      </c>
      <c r="G23" s="405">
        <v>1431585</v>
      </c>
    </row>
    <row r="24" spans="1:7" ht="12.75">
      <c r="A24" s="359">
        <v>16</v>
      </c>
      <c r="B24" s="14" t="s">
        <v>129</v>
      </c>
      <c r="C24" s="406">
        <v>1591660</v>
      </c>
      <c r="D24" s="406">
        <v>36825</v>
      </c>
      <c r="E24" s="406">
        <v>29460</v>
      </c>
      <c r="F24" s="406">
        <v>66398</v>
      </c>
      <c r="G24" s="406">
        <v>186300</v>
      </c>
    </row>
    <row r="25" spans="1:7" ht="12.75">
      <c r="A25" s="358">
        <v>17</v>
      </c>
      <c r="B25" s="12" t="s">
        <v>130</v>
      </c>
      <c r="C25" s="405">
        <v>980454</v>
      </c>
      <c r="D25" s="405">
        <v>25425</v>
      </c>
      <c r="E25" s="405">
        <v>20340</v>
      </c>
      <c r="F25" s="405">
        <v>45878</v>
      </c>
      <c r="G25" s="405">
        <v>128700</v>
      </c>
    </row>
    <row r="26" spans="1:7" ht="12.75">
      <c r="A26" s="359">
        <v>18</v>
      </c>
      <c r="B26" s="14" t="s">
        <v>131</v>
      </c>
      <c r="C26" s="406">
        <v>2813256</v>
      </c>
      <c r="D26" s="406">
        <v>68999</v>
      </c>
      <c r="E26" s="406">
        <v>54592</v>
      </c>
      <c r="F26" s="406">
        <v>122622</v>
      </c>
      <c r="G26" s="406">
        <v>345150</v>
      </c>
    </row>
    <row r="27" spans="1:7" ht="12.75">
      <c r="A27" s="358">
        <v>19</v>
      </c>
      <c r="B27" s="12" t="s">
        <v>132</v>
      </c>
      <c r="C27" s="405">
        <v>3927021</v>
      </c>
      <c r="D27" s="405">
        <v>97270</v>
      </c>
      <c r="E27" s="405">
        <v>77816</v>
      </c>
      <c r="F27" s="405">
        <v>155000</v>
      </c>
      <c r="G27" s="405">
        <v>491850</v>
      </c>
    </row>
    <row r="28" spans="1:7" ht="12.75">
      <c r="A28" s="359">
        <v>20</v>
      </c>
      <c r="B28" s="14" t="s">
        <v>133</v>
      </c>
      <c r="C28" s="406">
        <v>2273271</v>
      </c>
      <c r="D28" s="406">
        <v>49795</v>
      </c>
      <c r="E28" s="406">
        <v>39836</v>
      </c>
      <c r="F28" s="406">
        <v>89639</v>
      </c>
      <c r="G28" s="406">
        <v>251550</v>
      </c>
    </row>
    <row r="29" spans="1:7" ht="12.75">
      <c r="A29" s="358">
        <v>21</v>
      </c>
      <c r="B29" s="12" t="s">
        <v>134</v>
      </c>
      <c r="C29" s="405">
        <v>7501662</v>
      </c>
      <c r="D29" s="405">
        <v>170880</v>
      </c>
      <c r="E29" s="405">
        <v>136704</v>
      </c>
      <c r="F29" s="405">
        <v>307764</v>
      </c>
      <c r="G29" s="405">
        <v>864000</v>
      </c>
    </row>
    <row r="30" spans="1:7" ht="12.75">
      <c r="A30" s="359">
        <v>22</v>
      </c>
      <c r="B30" s="14" t="s">
        <v>135</v>
      </c>
      <c r="C30" s="406">
        <v>3029774</v>
      </c>
      <c r="D30" s="406">
        <v>85330</v>
      </c>
      <c r="E30" s="406">
        <v>68264</v>
      </c>
      <c r="F30" s="406">
        <v>151000</v>
      </c>
      <c r="G30" s="406">
        <v>431550</v>
      </c>
    </row>
    <row r="31" spans="1:7" ht="12.75">
      <c r="A31" s="358">
        <v>23</v>
      </c>
      <c r="B31" s="12" t="s">
        <v>136</v>
      </c>
      <c r="C31" s="405">
        <v>3384618</v>
      </c>
      <c r="D31" s="405">
        <v>69405</v>
      </c>
      <c r="E31" s="405">
        <v>55524</v>
      </c>
      <c r="F31" s="405">
        <v>124772</v>
      </c>
      <c r="G31" s="405">
        <v>351000</v>
      </c>
    </row>
    <row r="32" spans="1:7" ht="12.75">
      <c r="A32" s="359">
        <v>24</v>
      </c>
      <c r="B32" s="14" t="s">
        <v>137</v>
      </c>
      <c r="C32" s="406">
        <v>7008652</v>
      </c>
      <c r="D32" s="406">
        <v>148508</v>
      </c>
      <c r="E32" s="406">
        <v>140168</v>
      </c>
      <c r="F32" s="406">
        <v>315363</v>
      </c>
      <c r="G32" s="406">
        <v>886050</v>
      </c>
    </row>
    <row r="33" spans="1:7" ht="12.75">
      <c r="A33" s="358">
        <v>25</v>
      </c>
      <c r="B33" s="12" t="s">
        <v>138</v>
      </c>
      <c r="C33" s="405">
        <v>3102545</v>
      </c>
      <c r="D33" s="405">
        <v>75250</v>
      </c>
      <c r="E33" s="405">
        <v>60200</v>
      </c>
      <c r="F33" s="405">
        <v>132851</v>
      </c>
      <c r="G33" s="405">
        <v>380700</v>
      </c>
    </row>
    <row r="34" spans="1:7" ht="12.75">
      <c r="A34" s="359">
        <v>26</v>
      </c>
      <c r="B34" s="14" t="s">
        <v>139</v>
      </c>
      <c r="C34" s="406">
        <v>6250403</v>
      </c>
      <c r="D34" s="406">
        <v>137860</v>
      </c>
      <c r="E34" s="406">
        <v>110288</v>
      </c>
      <c r="F34" s="406">
        <v>248358</v>
      </c>
      <c r="G34" s="406">
        <v>697050</v>
      </c>
    </row>
    <row r="35" spans="1:7" ht="12.75">
      <c r="A35" s="358">
        <v>28</v>
      </c>
      <c r="B35" s="12" t="s">
        <v>140</v>
      </c>
      <c r="C35" s="405">
        <v>2240239</v>
      </c>
      <c r="D35" s="405">
        <v>43210</v>
      </c>
      <c r="E35" s="405">
        <v>34568</v>
      </c>
      <c r="F35" s="405">
        <v>68052</v>
      </c>
      <c r="G35" s="405">
        <v>218700</v>
      </c>
    </row>
    <row r="36" spans="1:7" ht="12.75">
      <c r="A36" s="359">
        <v>30</v>
      </c>
      <c r="B36" s="14" t="s">
        <v>141</v>
      </c>
      <c r="C36" s="406">
        <v>2938339</v>
      </c>
      <c r="D36" s="406">
        <v>67872</v>
      </c>
      <c r="E36" s="406">
        <v>54352</v>
      </c>
      <c r="F36" s="406">
        <v>122082</v>
      </c>
      <c r="G36" s="406">
        <v>343350</v>
      </c>
    </row>
    <row r="37" spans="1:7" ht="12.75">
      <c r="A37" s="358">
        <v>31</v>
      </c>
      <c r="B37" s="12" t="s">
        <v>142</v>
      </c>
      <c r="C37" s="405">
        <v>3601607</v>
      </c>
      <c r="D37" s="405">
        <v>84680</v>
      </c>
      <c r="E37" s="405">
        <v>67744</v>
      </c>
      <c r="F37" s="405">
        <v>131091</v>
      </c>
      <c r="G37" s="405">
        <v>427950</v>
      </c>
    </row>
    <row r="38" spans="1:7" ht="12.75">
      <c r="A38" s="359">
        <v>32</v>
      </c>
      <c r="B38" s="14" t="s">
        <v>143</v>
      </c>
      <c r="C38" s="406">
        <v>2064643</v>
      </c>
      <c r="D38" s="406">
        <v>42150</v>
      </c>
      <c r="E38" s="406">
        <v>33720</v>
      </c>
      <c r="F38" s="406">
        <v>76095</v>
      </c>
      <c r="G38" s="406">
        <v>213300</v>
      </c>
    </row>
    <row r="39" spans="1:7" ht="12.75">
      <c r="A39" s="358">
        <v>33</v>
      </c>
      <c r="B39" s="12" t="s">
        <v>144</v>
      </c>
      <c r="C39" s="405">
        <v>4013227</v>
      </c>
      <c r="D39" s="405">
        <v>93020</v>
      </c>
      <c r="E39" s="405">
        <v>74416</v>
      </c>
      <c r="F39" s="405">
        <v>167406</v>
      </c>
      <c r="G39" s="405">
        <v>470250</v>
      </c>
    </row>
    <row r="40" spans="1:7" ht="12.75">
      <c r="A40" s="359">
        <v>34</v>
      </c>
      <c r="B40" s="14" t="s">
        <v>145</v>
      </c>
      <c r="C40" s="406">
        <v>1900519</v>
      </c>
      <c r="D40" s="406">
        <v>34925</v>
      </c>
      <c r="E40" s="406">
        <v>27940</v>
      </c>
      <c r="F40" s="406">
        <v>62678</v>
      </c>
      <c r="G40" s="406">
        <v>176400</v>
      </c>
    </row>
    <row r="41" spans="1:7" ht="12.75">
      <c r="A41" s="358">
        <v>35</v>
      </c>
      <c r="B41" s="12" t="s">
        <v>146</v>
      </c>
      <c r="C41" s="405">
        <v>4128265</v>
      </c>
      <c r="D41" s="405">
        <v>93070</v>
      </c>
      <c r="E41" s="405">
        <v>74456</v>
      </c>
      <c r="F41" s="405">
        <v>167421</v>
      </c>
      <c r="G41" s="405">
        <v>470700</v>
      </c>
    </row>
    <row r="42" spans="1:7" ht="12.75">
      <c r="A42" s="359">
        <v>36</v>
      </c>
      <c r="B42" s="14" t="s">
        <v>147</v>
      </c>
      <c r="C42" s="406">
        <v>2148378</v>
      </c>
      <c r="D42" s="406">
        <v>50456</v>
      </c>
      <c r="E42" s="406">
        <v>42160</v>
      </c>
      <c r="F42" s="406">
        <v>95010</v>
      </c>
      <c r="G42" s="406">
        <v>266400</v>
      </c>
    </row>
    <row r="43" spans="1:7" ht="12.75">
      <c r="A43" s="358">
        <v>37</v>
      </c>
      <c r="B43" s="12" t="s">
        <v>148</v>
      </c>
      <c r="C43" s="405">
        <v>1939098</v>
      </c>
      <c r="D43" s="405">
        <v>46620</v>
      </c>
      <c r="E43" s="405">
        <v>37296</v>
      </c>
      <c r="F43" s="405">
        <v>83736</v>
      </c>
      <c r="G43" s="405">
        <v>235800</v>
      </c>
    </row>
    <row r="44" spans="1:7" ht="12.75">
      <c r="A44" s="359">
        <v>38</v>
      </c>
      <c r="B44" s="14" t="s">
        <v>149</v>
      </c>
      <c r="C44" s="406">
        <v>2435609</v>
      </c>
      <c r="D44" s="406">
        <v>57950</v>
      </c>
      <c r="E44" s="406">
        <v>46360</v>
      </c>
      <c r="F44" s="406">
        <v>104235</v>
      </c>
      <c r="G44" s="406">
        <v>292950</v>
      </c>
    </row>
    <row r="45" spans="1:7" ht="12.75">
      <c r="A45" s="358">
        <v>39</v>
      </c>
      <c r="B45" s="12" t="s">
        <v>150</v>
      </c>
      <c r="C45" s="405">
        <v>4728280</v>
      </c>
      <c r="D45" s="405">
        <v>106000</v>
      </c>
      <c r="E45" s="405">
        <v>84800</v>
      </c>
      <c r="F45" s="405">
        <v>190650</v>
      </c>
      <c r="G45" s="405">
        <v>535950</v>
      </c>
    </row>
    <row r="46" spans="1:7" ht="12.75">
      <c r="A46" s="359">
        <v>40</v>
      </c>
      <c r="B46" s="14" t="s">
        <v>151</v>
      </c>
      <c r="C46" s="406">
        <v>14405032</v>
      </c>
      <c r="D46" s="406">
        <v>367085</v>
      </c>
      <c r="E46" s="406">
        <v>293668</v>
      </c>
      <c r="F46" s="406">
        <v>660926</v>
      </c>
      <c r="G46" s="406">
        <v>1856250</v>
      </c>
    </row>
    <row r="47" spans="1:7" ht="12.75">
      <c r="A47" s="358">
        <v>41</v>
      </c>
      <c r="B47" s="12" t="s">
        <v>152</v>
      </c>
      <c r="C47" s="405">
        <v>3129616</v>
      </c>
      <c r="D47" s="405">
        <v>78565</v>
      </c>
      <c r="E47" s="405">
        <v>62852</v>
      </c>
      <c r="F47" s="405">
        <v>141470</v>
      </c>
      <c r="G47" s="405">
        <v>397350</v>
      </c>
    </row>
    <row r="48" spans="1:7" ht="12.75">
      <c r="A48" s="359">
        <v>42</v>
      </c>
      <c r="B48" s="14" t="s">
        <v>153</v>
      </c>
      <c r="C48" s="406">
        <v>2345716</v>
      </c>
      <c r="D48" s="406">
        <v>54755</v>
      </c>
      <c r="E48" s="406">
        <v>43804</v>
      </c>
      <c r="F48" s="406">
        <v>98777</v>
      </c>
      <c r="G48" s="406">
        <v>276750</v>
      </c>
    </row>
    <row r="49" spans="1:7" ht="12.75">
      <c r="A49" s="358">
        <v>43</v>
      </c>
      <c r="B49" s="12" t="s">
        <v>154</v>
      </c>
      <c r="C49" s="405">
        <v>1601022</v>
      </c>
      <c r="D49" s="405">
        <v>41275</v>
      </c>
      <c r="E49" s="405">
        <v>33020</v>
      </c>
      <c r="F49" s="405">
        <v>74483</v>
      </c>
      <c r="G49" s="405">
        <v>208800</v>
      </c>
    </row>
    <row r="50" spans="1:7" ht="12.75">
      <c r="A50" s="359">
        <v>44</v>
      </c>
      <c r="B50" s="14" t="s">
        <v>155</v>
      </c>
      <c r="C50" s="406">
        <v>2718336</v>
      </c>
      <c r="D50" s="406">
        <v>64200</v>
      </c>
      <c r="E50" s="406">
        <v>51360</v>
      </c>
      <c r="F50" s="406">
        <v>115560</v>
      </c>
      <c r="G50" s="406">
        <v>324450</v>
      </c>
    </row>
    <row r="51" spans="1:7" ht="12.75">
      <c r="A51" s="358">
        <v>45</v>
      </c>
      <c r="B51" s="12" t="s">
        <v>156</v>
      </c>
      <c r="C51" s="405">
        <v>4403600</v>
      </c>
      <c r="D51" s="405">
        <v>90840</v>
      </c>
      <c r="E51" s="405">
        <v>72672</v>
      </c>
      <c r="F51" s="405">
        <v>163602</v>
      </c>
      <c r="G51" s="405">
        <v>459450</v>
      </c>
    </row>
    <row r="52" spans="1:7" ht="12.75">
      <c r="A52" s="359">
        <v>46</v>
      </c>
      <c r="B52" s="14" t="s">
        <v>157</v>
      </c>
      <c r="C52" s="406">
        <v>3356798</v>
      </c>
      <c r="D52" s="406">
        <v>66685</v>
      </c>
      <c r="E52" s="406">
        <v>53348</v>
      </c>
      <c r="F52" s="406">
        <v>119906</v>
      </c>
      <c r="G52" s="406">
        <v>337050</v>
      </c>
    </row>
    <row r="53" spans="1:7" ht="12.75">
      <c r="A53" s="358">
        <v>47</v>
      </c>
      <c r="B53" s="12" t="s">
        <v>158</v>
      </c>
      <c r="C53" s="405">
        <v>3035535</v>
      </c>
      <c r="D53" s="405">
        <v>72135</v>
      </c>
      <c r="E53" s="405">
        <v>57708</v>
      </c>
      <c r="F53" s="405">
        <v>129641</v>
      </c>
      <c r="G53" s="405">
        <v>364950</v>
      </c>
    </row>
    <row r="54" spans="1:7" ht="12.75">
      <c r="A54" s="359">
        <v>48</v>
      </c>
      <c r="B54" s="14" t="s">
        <v>159</v>
      </c>
      <c r="C54" s="406">
        <v>7816684</v>
      </c>
      <c r="D54" s="406">
        <v>122985</v>
      </c>
      <c r="E54" s="406">
        <v>98388</v>
      </c>
      <c r="F54" s="406">
        <v>221396</v>
      </c>
      <c r="G54" s="406">
        <v>621900</v>
      </c>
    </row>
    <row r="55" spans="1:7" ht="12.75">
      <c r="A55" s="358">
        <v>49</v>
      </c>
      <c r="B55" s="12" t="s">
        <v>160</v>
      </c>
      <c r="C55" s="405">
        <v>9918481</v>
      </c>
      <c r="D55" s="405">
        <v>214490</v>
      </c>
      <c r="E55" s="405">
        <v>171592</v>
      </c>
      <c r="F55" s="405">
        <v>386097</v>
      </c>
      <c r="G55" s="405">
        <v>1084500</v>
      </c>
    </row>
    <row r="56" spans="1:7" ht="12.75">
      <c r="A56" s="359">
        <v>50</v>
      </c>
      <c r="B56" s="14" t="s">
        <v>343</v>
      </c>
      <c r="C56" s="406">
        <v>4278984</v>
      </c>
      <c r="D56" s="406">
        <v>91660</v>
      </c>
      <c r="E56" s="406">
        <v>73328</v>
      </c>
      <c r="F56" s="406">
        <v>165198</v>
      </c>
      <c r="G56" s="406">
        <v>463500</v>
      </c>
    </row>
    <row r="57" spans="1:7" ht="12.75">
      <c r="A57" s="358">
        <v>2264</v>
      </c>
      <c r="B57" s="12" t="s">
        <v>161</v>
      </c>
      <c r="C57" s="405">
        <v>509985</v>
      </c>
      <c r="D57" s="405">
        <v>9575</v>
      </c>
      <c r="E57" s="405">
        <v>7660</v>
      </c>
      <c r="F57" s="405">
        <v>17273</v>
      </c>
      <c r="G57" s="405">
        <v>48600</v>
      </c>
    </row>
    <row r="58" spans="1:7" ht="12.75">
      <c r="A58" s="359">
        <v>2309</v>
      </c>
      <c r="B58" s="14" t="s">
        <v>162</v>
      </c>
      <c r="C58" s="406">
        <v>718409</v>
      </c>
      <c r="D58" s="406">
        <v>12600</v>
      </c>
      <c r="E58" s="406">
        <v>10080</v>
      </c>
      <c r="F58" s="406">
        <v>22680</v>
      </c>
      <c r="G58" s="406">
        <v>63900</v>
      </c>
    </row>
    <row r="59" spans="1:7" ht="12.75">
      <c r="A59" s="358">
        <v>2312</v>
      </c>
      <c r="B59" s="12" t="s">
        <v>163</v>
      </c>
      <c r="C59" s="405">
        <v>551846</v>
      </c>
      <c r="D59" s="405">
        <v>9225</v>
      </c>
      <c r="E59" s="405">
        <v>7380</v>
      </c>
      <c r="F59" s="405">
        <v>16718</v>
      </c>
      <c r="G59" s="405">
        <v>46800</v>
      </c>
    </row>
    <row r="60" spans="1:7" ht="12.75">
      <c r="A60" s="359">
        <v>2355</v>
      </c>
      <c r="B60" s="14" t="s">
        <v>164</v>
      </c>
      <c r="C60" s="406">
        <v>8515840</v>
      </c>
      <c r="D60" s="406">
        <v>164305</v>
      </c>
      <c r="E60" s="406">
        <v>131444</v>
      </c>
      <c r="F60" s="406">
        <v>295892</v>
      </c>
      <c r="G60" s="406">
        <v>830700</v>
      </c>
    </row>
    <row r="61" spans="1:7" ht="12.75">
      <c r="A61" s="358">
        <v>2439</v>
      </c>
      <c r="B61" s="12" t="s">
        <v>165</v>
      </c>
      <c r="C61" s="405">
        <v>366764</v>
      </c>
      <c r="D61" s="405">
        <v>8139.14</v>
      </c>
      <c r="E61" s="405">
        <v>5700</v>
      </c>
      <c r="F61" s="405">
        <v>12938</v>
      </c>
      <c r="G61" s="405">
        <v>36000</v>
      </c>
    </row>
    <row r="62" spans="1:7" ht="12.75">
      <c r="A62" s="359">
        <v>2460</v>
      </c>
      <c r="B62" s="14" t="s">
        <v>166</v>
      </c>
      <c r="C62" s="406">
        <v>859607</v>
      </c>
      <c r="D62" s="406">
        <v>14356</v>
      </c>
      <c r="E62" s="406">
        <v>12392</v>
      </c>
      <c r="F62" s="406">
        <v>28047</v>
      </c>
      <c r="G62" s="406">
        <v>78300</v>
      </c>
    </row>
    <row r="63" spans="1:7" ht="12.75">
      <c r="A63" s="358">
        <v>3000</v>
      </c>
      <c r="B63" s="12" t="s">
        <v>366</v>
      </c>
      <c r="C63" s="405">
        <v>0</v>
      </c>
      <c r="D63" s="405">
        <v>0</v>
      </c>
      <c r="E63" s="405">
        <v>0</v>
      </c>
      <c r="F63" s="405">
        <v>0</v>
      </c>
      <c r="G63" s="405">
        <v>0</v>
      </c>
    </row>
    <row r="64" spans="3:7" ht="4.5" customHeight="1">
      <c r="C64" s="412"/>
      <c r="D64" s="412"/>
      <c r="E64" s="412"/>
      <c r="F64" s="412"/>
      <c r="G64" s="412"/>
    </row>
    <row r="65" spans="1:7" ht="12.75">
      <c r="A65" s="99"/>
      <c r="B65" s="18" t="s">
        <v>167</v>
      </c>
      <c r="C65" s="407">
        <f>SUM(C11:C63)</f>
        <v>377628720</v>
      </c>
      <c r="D65" s="407">
        <f>SUM(D11:D63)</f>
        <v>8694272.14</v>
      </c>
      <c r="E65" s="407">
        <f>SUM(E11:E63)</f>
        <v>7079484</v>
      </c>
      <c r="F65" s="407">
        <f>SUM(F11:F63)</f>
        <v>15777492</v>
      </c>
      <c r="G65" s="407">
        <f>SUM(G11:G63)</f>
        <v>44691885</v>
      </c>
    </row>
    <row r="66" spans="3:7" ht="4.5" customHeight="1">
      <c r="C66" s="412"/>
      <c r="D66" s="412"/>
      <c r="E66" s="412"/>
      <c r="F66" s="412"/>
      <c r="G66" s="412"/>
    </row>
    <row r="67" spans="1:7" ht="12.75">
      <c r="A67" s="96">
        <v>2155</v>
      </c>
      <c r="B67" s="97" t="s">
        <v>168</v>
      </c>
      <c r="C67" s="406">
        <v>72610</v>
      </c>
      <c r="D67" s="406">
        <v>3975</v>
      </c>
      <c r="E67" s="406">
        <v>3180</v>
      </c>
      <c r="F67" s="406">
        <v>7043</v>
      </c>
      <c r="G67" s="406">
        <v>20250</v>
      </c>
    </row>
    <row r="68" spans="1:7" ht="12.75">
      <c r="A68" s="94">
        <v>2408</v>
      </c>
      <c r="B68" s="95" t="s">
        <v>170</v>
      </c>
      <c r="C68" s="405">
        <v>177758</v>
      </c>
      <c r="D68" s="405">
        <v>12925</v>
      </c>
      <c r="E68" s="405">
        <v>10340</v>
      </c>
      <c r="F68" s="405">
        <v>18139</v>
      </c>
      <c r="G68" s="405">
        <v>74573</v>
      </c>
    </row>
    <row r="69" spans="3:7" ht="6.75" customHeight="1">
      <c r="C69" s="15"/>
      <c r="D69" s="15"/>
      <c r="E69" s="15"/>
      <c r="G69" s="15"/>
    </row>
    <row r="70" spans="1:7" ht="12" customHeight="1">
      <c r="A70" s="380" t="s">
        <v>354</v>
      </c>
      <c r="B70" s="267" t="s">
        <v>321</v>
      </c>
      <c r="D70" s="120"/>
      <c r="E70" s="120"/>
      <c r="F70" s="120"/>
      <c r="G70" s="120"/>
    </row>
    <row r="71" spans="1:7" ht="12" customHeight="1">
      <c r="A71" s="4"/>
      <c r="B71" s="267" t="s">
        <v>506</v>
      </c>
      <c r="D71" s="120"/>
      <c r="E71" s="120"/>
      <c r="F71" s="120"/>
      <c r="G71" s="120"/>
    </row>
    <row r="72" spans="1:7" ht="12" customHeight="1">
      <c r="A72" s="4"/>
      <c r="B72" s="267" t="s">
        <v>322</v>
      </c>
      <c r="D72" s="120"/>
      <c r="E72" s="120"/>
      <c r="F72" s="120"/>
      <c r="G72" s="120"/>
    </row>
    <row r="73" spans="1:7" ht="12" customHeight="1">
      <c r="A73" s="380" t="s">
        <v>355</v>
      </c>
      <c r="B73" s="267" t="s">
        <v>381</v>
      </c>
      <c r="C73" s="15"/>
      <c r="D73" s="126"/>
      <c r="E73" s="126"/>
      <c r="F73" s="126"/>
      <c r="G73" s="126"/>
    </row>
    <row r="74" spans="1:7" ht="12" customHeight="1">
      <c r="A74" s="4"/>
      <c r="B74" s="4"/>
      <c r="C74" s="15"/>
      <c r="D74" s="15"/>
      <c r="E74" s="15"/>
      <c r="F74" s="15"/>
      <c r="G74" s="15"/>
    </row>
    <row r="75" spans="3:7" ht="12" customHeight="1">
      <c r="C75" s="15"/>
      <c r="D75" s="15"/>
      <c r="E75" s="15"/>
      <c r="F75" s="15"/>
      <c r="G75" s="15"/>
    </row>
    <row r="76" spans="4:7" ht="12.75">
      <c r="D76" s="15"/>
      <c r="E76" s="15"/>
      <c r="F76" s="15"/>
      <c r="G76"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51">
    <pageSetUpPr fitToPage="1"/>
  </sheetPr>
  <dimension ref="A1:G76"/>
  <sheetViews>
    <sheetView showGridLines="0" showZeros="0" workbookViewId="0" topLeftCell="A1">
      <selection activeCell="A1" sqref="A1"/>
    </sheetView>
  </sheetViews>
  <sheetFormatPr defaultColWidth="19.83203125" defaultRowHeight="12"/>
  <cols>
    <col min="1" max="1" width="6.83203125" style="79" customWidth="1"/>
    <col min="2" max="2" width="35.83203125" style="79" customWidth="1"/>
    <col min="3" max="6" width="20.83203125" style="79" customWidth="1"/>
    <col min="7" max="7" width="12.83203125" style="79" customWidth="1"/>
    <col min="8" max="16384" width="19.83203125" style="79" customWidth="1"/>
  </cols>
  <sheetData>
    <row r="1" spans="1:7" ht="6.75" customHeight="1">
      <c r="A1" s="15"/>
      <c r="B1" s="77"/>
      <c r="C1" s="77"/>
      <c r="D1" s="77"/>
      <c r="E1" s="77"/>
      <c r="F1" s="77"/>
      <c r="G1" s="77"/>
    </row>
    <row r="2" spans="1:7" ht="12.75">
      <c r="A2" s="9"/>
      <c r="B2" s="103"/>
      <c r="C2" s="133" t="str">
        <f>REVYEAR</f>
        <v>ANALYSIS OF OPERATING FUND REVENUE: 2001/2002 ACTUAL</v>
      </c>
      <c r="D2" s="133"/>
      <c r="E2" s="134"/>
      <c r="F2" s="382"/>
      <c r="G2" s="105" t="s">
        <v>376</v>
      </c>
    </row>
    <row r="3" spans="1:7" ht="12.75">
      <c r="A3" s="10"/>
      <c r="B3" s="106"/>
      <c r="C3" s="77"/>
      <c r="D3" s="77"/>
      <c r="E3" s="77"/>
      <c r="F3" s="77"/>
      <c r="G3" s="77"/>
    </row>
    <row r="4" spans="1:6" ht="12.75">
      <c r="A4" s="8"/>
      <c r="C4" s="108" t="s">
        <v>519</v>
      </c>
      <c r="D4" s="109"/>
      <c r="E4" s="109"/>
      <c r="F4" s="110"/>
    </row>
    <row r="5" spans="1:6" ht="12.75">
      <c r="A5" s="8"/>
      <c r="C5" s="111" t="s">
        <v>516</v>
      </c>
      <c r="D5" s="112"/>
      <c r="E5" s="135"/>
      <c r="F5" s="113"/>
    </row>
    <row r="6" spans="1:7" ht="12.75">
      <c r="A6" s="8"/>
      <c r="C6" s="122" t="s">
        <v>176</v>
      </c>
      <c r="D6" s="104"/>
      <c r="E6" s="104"/>
      <c r="F6" s="129"/>
      <c r="G6"/>
    </row>
    <row r="7" spans="1:7" ht="12.75">
      <c r="A7" s="15"/>
      <c r="C7" s="43"/>
      <c r="D7" s="43"/>
      <c r="E7" s="43"/>
      <c r="F7" s="114" t="s">
        <v>70</v>
      </c>
      <c r="G7"/>
    </row>
    <row r="8" spans="1:7" ht="12.75">
      <c r="A8" s="91"/>
      <c r="B8" s="43"/>
      <c r="C8" s="117" t="s">
        <v>203</v>
      </c>
      <c r="D8" s="117" t="s">
        <v>205</v>
      </c>
      <c r="E8" s="116"/>
      <c r="F8" s="117" t="s">
        <v>206</v>
      </c>
      <c r="G8"/>
    </row>
    <row r="9" spans="1:7" ht="12.75">
      <c r="A9" s="49" t="s">
        <v>101</v>
      </c>
      <c r="B9" s="50" t="s">
        <v>102</v>
      </c>
      <c r="C9" s="119" t="s">
        <v>233</v>
      </c>
      <c r="D9" s="119" t="s">
        <v>235</v>
      </c>
      <c r="E9" s="119" t="s">
        <v>232</v>
      </c>
      <c r="F9" s="119" t="s">
        <v>231</v>
      </c>
      <c r="G9"/>
    </row>
    <row r="10" spans="1:7" ht="4.5" customHeight="1">
      <c r="A10" s="74"/>
      <c r="B10" s="74"/>
      <c r="E10" s="77"/>
      <c r="F10" s="77"/>
      <c r="G10"/>
    </row>
    <row r="11" spans="1:6" ht="12.75">
      <c r="A11" s="358">
        <v>1</v>
      </c>
      <c r="B11" s="12" t="s">
        <v>116</v>
      </c>
      <c r="C11" s="405">
        <v>1555650</v>
      </c>
      <c r="D11" s="405">
        <v>949027</v>
      </c>
      <c r="E11" s="405">
        <v>14025000</v>
      </c>
      <c r="F11" s="405">
        <f>SUM('- 56 -'!C11:G11,C11:E11)</f>
        <v>93644393</v>
      </c>
    </row>
    <row r="12" spans="1:6" ht="12.75">
      <c r="A12" s="359">
        <v>2</v>
      </c>
      <c r="B12" s="14" t="s">
        <v>117</v>
      </c>
      <c r="C12" s="406">
        <v>475650</v>
      </c>
      <c r="D12" s="406">
        <v>286731</v>
      </c>
      <c r="E12" s="406">
        <v>3795000</v>
      </c>
      <c r="F12" s="406">
        <f>SUM('- 56 -'!C12:G12,C12:E12)</f>
        <v>24674392</v>
      </c>
    </row>
    <row r="13" spans="1:6" ht="12.75">
      <c r="A13" s="358">
        <v>3</v>
      </c>
      <c r="B13" s="12" t="s">
        <v>118</v>
      </c>
      <c r="C13" s="405">
        <v>365850</v>
      </c>
      <c r="D13" s="405">
        <v>204207</v>
      </c>
      <c r="E13" s="405">
        <v>2227500</v>
      </c>
      <c r="F13" s="405">
        <f>SUM('- 56 -'!C13:G13,C13:E13)</f>
        <v>18039968</v>
      </c>
    </row>
    <row r="14" spans="1:6" ht="12.75">
      <c r="A14" s="359">
        <v>4</v>
      </c>
      <c r="B14" s="14" t="s">
        <v>119</v>
      </c>
      <c r="C14" s="406">
        <v>306000</v>
      </c>
      <c r="D14" s="406">
        <v>186123</v>
      </c>
      <c r="E14" s="406">
        <v>2722500</v>
      </c>
      <c r="F14" s="406">
        <f>SUM('- 56 -'!C14:G14,C14:E14)</f>
        <v>17423300</v>
      </c>
    </row>
    <row r="15" spans="1:6" ht="12.75">
      <c r="A15" s="358">
        <v>5</v>
      </c>
      <c r="B15" s="12" t="s">
        <v>120</v>
      </c>
      <c r="C15" s="405">
        <v>371700</v>
      </c>
      <c r="D15" s="405">
        <v>222292</v>
      </c>
      <c r="E15" s="405">
        <v>2475000</v>
      </c>
      <c r="F15" s="405">
        <f>SUM('- 56 -'!C15:G15,C15:E15)</f>
        <v>19253146</v>
      </c>
    </row>
    <row r="16" spans="1:6" ht="12.75">
      <c r="A16" s="359">
        <v>6</v>
      </c>
      <c r="B16" s="14" t="s">
        <v>121</v>
      </c>
      <c r="C16" s="406">
        <v>474300</v>
      </c>
      <c r="D16" s="406">
        <v>277855</v>
      </c>
      <c r="E16" s="406">
        <v>3300000</v>
      </c>
      <c r="F16" s="406">
        <f>SUM('- 56 -'!C16:G16,C16:E16)</f>
        <v>27032980</v>
      </c>
    </row>
    <row r="17" spans="1:6" ht="12.75">
      <c r="A17" s="358">
        <v>9</v>
      </c>
      <c r="B17" s="12" t="s">
        <v>122</v>
      </c>
      <c r="C17" s="405">
        <v>677700</v>
      </c>
      <c r="D17" s="405">
        <v>394675</v>
      </c>
      <c r="E17" s="405">
        <v>4785000</v>
      </c>
      <c r="F17" s="405">
        <f>SUM('- 56 -'!C17:G17,C17:E17)</f>
        <v>38997282</v>
      </c>
    </row>
    <row r="18" spans="1:6" ht="12.75">
      <c r="A18" s="359">
        <v>10</v>
      </c>
      <c r="B18" s="14" t="s">
        <v>123</v>
      </c>
      <c r="C18" s="406">
        <v>457650</v>
      </c>
      <c r="D18" s="406">
        <v>267775</v>
      </c>
      <c r="E18" s="406">
        <v>3052500</v>
      </c>
      <c r="F18" s="406">
        <f>SUM('- 56 -'!C18:G18,C18:E18)</f>
        <v>26324993</v>
      </c>
    </row>
    <row r="19" spans="1:6" ht="12.75">
      <c r="A19" s="358">
        <v>11</v>
      </c>
      <c r="B19" s="12" t="s">
        <v>124</v>
      </c>
      <c r="C19" s="405">
        <v>243450</v>
      </c>
      <c r="D19" s="405">
        <v>149200</v>
      </c>
      <c r="E19" s="405">
        <v>1650000</v>
      </c>
      <c r="F19" s="405">
        <f>SUM('- 56 -'!C19:G19,C19:E19)</f>
        <v>13089176</v>
      </c>
    </row>
    <row r="20" spans="1:6" ht="12.75">
      <c r="A20" s="359">
        <v>12</v>
      </c>
      <c r="B20" s="14" t="s">
        <v>125</v>
      </c>
      <c r="C20" s="406">
        <v>411300</v>
      </c>
      <c r="D20" s="406">
        <v>235605</v>
      </c>
      <c r="E20" s="406">
        <v>2805000</v>
      </c>
      <c r="F20" s="406">
        <f>SUM('- 56 -'!C20:G20,C20:E20)</f>
        <v>23333128</v>
      </c>
    </row>
    <row r="21" spans="1:6" ht="12.75">
      <c r="A21" s="358">
        <v>13</v>
      </c>
      <c r="B21" s="12" t="s">
        <v>126</v>
      </c>
      <c r="C21" s="405">
        <v>135000</v>
      </c>
      <c r="D21" s="405">
        <v>55130</v>
      </c>
      <c r="E21" s="405">
        <v>1237500</v>
      </c>
      <c r="F21" s="405">
        <f>SUM('- 56 -'!C21:G21,C21:E21)</f>
        <v>7625638</v>
      </c>
    </row>
    <row r="22" spans="1:6" ht="12.75">
      <c r="A22" s="359">
        <v>14</v>
      </c>
      <c r="B22" s="14" t="s">
        <v>127</v>
      </c>
      <c r="C22" s="406">
        <v>182700</v>
      </c>
      <c r="D22" s="406">
        <v>112743</v>
      </c>
      <c r="E22" s="406">
        <v>1485000</v>
      </c>
      <c r="F22" s="406">
        <f>SUM('- 56 -'!C22:G22,C22:E22)</f>
        <v>10947168</v>
      </c>
    </row>
    <row r="23" spans="1:6" ht="12.75">
      <c r="A23" s="358">
        <v>15</v>
      </c>
      <c r="B23" s="12" t="s">
        <v>128</v>
      </c>
      <c r="C23" s="405">
        <v>286910</v>
      </c>
      <c r="D23" s="405">
        <v>132402</v>
      </c>
      <c r="E23" s="405">
        <v>1980000</v>
      </c>
      <c r="F23" s="405">
        <f>SUM('- 56 -'!C23:G23,C23:E23)</f>
        <v>18320759</v>
      </c>
    </row>
    <row r="24" spans="1:6" ht="12.75">
      <c r="A24" s="359">
        <v>16</v>
      </c>
      <c r="B24" s="14" t="s">
        <v>129</v>
      </c>
      <c r="C24" s="406">
        <v>39150</v>
      </c>
      <c r="D24" s="406">
        <v>28020</v>
      </c>
      <c r="E24" s="406">
        <v>330000</v>
      </c>
      <c r="F24" s="406">
        <f>SUM('- 56 -'!C24:G24,C24:E24)</f>
        <v>2307813</v>
      </c>
    </row>
    <row r="25" spans="1:6" ht="12.75">
      <c r="A25" s="358">
        <v>17</v>
      </c>
      <c r="B25" s="12" t="s">
        <v>130</v>
      </c>
      <c r="C25" s="405">
        <v>27450</v>
      </c>
      <c r="D25" s="405">
        <v>20224</v>
      </c>
      <c r="E25" s="405">
        <v>322394</v>
      </c>
      <c r="F25" s="405">
        <f>SUM('- 56 -'!C25:G25,C25:E25)</f>
        <v>1570865</v>
      </c>
    </row>
    <row r="26" spans="1:6" ht="12.75">
      <c r="A26" s="359">
        <v>18</v>
      </c>
      <c r="B26" s="14" t="s">
        <v>131</v>
      </c>
      <c r="C26" s="406">
        <v>69750</v>
      </c>
      <c r="D26" s="406">
        <v>46000</v>
      </c>
      <c r="E26" s="406">
        <v>660000</v>
      </c>
      <c r="F26" s="406">
        <f>SUM('- 56 -'!C26:G26,C26:E26)</f>
        <v>4180369</v>
      </c>
    </row>
    <row r="27" spans="1:6" ht="12.75">
      <c r="A27" s="358">
        <v>19</v>
      </c>
      <c r="B27" s="12" t="s">
        <v>132</v>
      </c>
      <c r="C27" s="405">
        <v>105300</v>
      </c>
      <c r="D27" s="405">
        <v>66192</v>
      </c>
      <c r="E27" s="405">
        <v>1072500</v>
      </c>
      <c r="F27" s="405">
        <f>SUM('- 56 -'!C27:G27,C27:E27)</f>
        <v>5992949</v>
      </c>
    </row>
    <row r="28" spans="1:6" ht="12.75">
      <c r="A28" s="359">
        <v>20</v>
      </c>
      <c r="B28" s="14" t="s">
        <v>133</v>
      </c>
      <c r="C28" s="406">
        <v>32750</v>
      </c>
      <c r="D28" s="406">
        <v>38302</v>
      </c>
      <c r="E28" s="406">
        <v>442414</v>
      </c>
      <c r="F28" s="406">
        <f>SUM('- 56 -'!C28:G28,C28:E28)</f>
        <v>3217557</v>
      </c>
    </row>
    <row r="29" spans="1:6" ht="12.75">
      <c r="A29" s="358">
        <v>21</v>
      </c>
      <c r="B29" s="12" t="s">
        <v>134</v>
      </c>
      <c r="C29" s="405">
        <v>183150</v>
      </c>
      <c r="D29" s="405">
        <v>113228</v>
      </c>
      <c r="E29" s="405">
        <v>1650000</v>
      </c>
      <c r="F29" s="405">
        <f>SUM('- 56 -'!C29:G29,C29:E29)</f>
        <v>10927388</v>
      </c>
    </row>
    <row r="30" spans="1:6" ht="12.75">
      <c r="A30" s="359">
        <v>22</v>
      </c>
      <c r="B30" s="14" t="s">
        <v>135</v>
      </c>
      <c r="C30" s="406">
        <v>92700</v>
      </c>
      <c r="D30" s="406">
        <v>57913</v>
      </c>
      <c r="E30" s="406">
        <v>907500</v>
      </c>
      <c r="F30" s="406">
        <f>SUM('- 56 -'!C30:G30,C30:E30)</f>
        <v>4824031</v>
      </c>
    </row>
    <row r="31" spans="1:6" ht="12.75">
      <c r="A31" s="358">
        <v>23</v>
      </c>
      <c r="B31" s="12" t="s">
        <v>136</v>
      </c>
      <c r="C31" s="405">
        <v>75150</v>
      </c>
      <c r="D31" s="405">
        <v>50701</v>
      </c>
      <c r="E31" s="405">
        <v>698219</v>
      </c>
      <c r="F31" s="405">
        <f>SUM('- 56 -'!C31:G31,C31:E31)</f>
        <v>4809389</v>
      </c>
    </row>
    <row r="32" spans="1:6" ht="12.75">
      <c r="A32" s="359">
        <v>24</v>
      </c>
      <c r="B32" s="14" t="s">
        <v>137</v>
      </c>
      <c r="C32" s="406">
        <v>184950</v>
      </c>
      <c r="D32" s="406">
        <v>114669</v>
      </c>
      <c r="E32" s="406">
        <v>1763842</v>
      </c>
      <c r="F32" s="406">
        <f>SUM('- 56 -'!C32:G32,C32:E32)</f>
        <v>10562202</v>
      </c>
    </row>
    <row r="33" spans="1:6" ht="12.75">
      <c r="A33" s="358">
        <v>25</v>
      </c>
      <c r="B33" s="12" t="s">
        <v>138</v>
      </c>
      <c r="C33" s="405">
        <v>80550</v>
      </c>
      <c r="D33" s="405">
        <v>51340</v>
      </c>
      <c r="E33" s="405">
        <v>733926</v>
      </c>
      <c r="F33" s="405">
        <f>SUM('- 56 -'!C33:G33,C33:E33)</f>
        <v>4617362</v>
      </c>
    </row>
    <row r="34" spans="1:6" ht="12.75">
      <c r="A34" s="359">
        <v>26</v>
      </c>
      <c r="B34" s="14" t="s">
        <v>139</v>
      </c>
      <c r="C34" s="406">
        <v>142200</v>
      </c>
      <c r="D34" s="406">
        <v>89864</v>
      </c>
      <c r="E34" s="406">
        <v>825000</v>
      </c>
      <c r="F34" s="406">
        <f>SUM('- 56 -'!C34:G34,C34:E34)</f>
        <v>8501023</v>
      </c>
    </row>
    <row r="35" spans="1:6" ht="12.75">
      <c r="A35" s="358">
        <v>28</v>
      </c>
      <c r="B35" s="12" t="s">
        <v>140</v>
      </c>
      <c r="C35" s="405">
        <v>48600</v>
      </c>
      <c r="D35" s="405">
        <v>24067</v>
      </c>
      <c r="E35" s="405">
        <v>372806</v>
      </c>
      <c r="F35" s="405">
        <f>SUM('- 56 -'!C35:G35,C35:E35)</f>
        <v>3050242</v>
      </c>
    </row>
    <row r="36" spans="1:6" ht="12.75">
      <c r="A36" s="359">
        <v>30</v>
      </c>
      <c r="B36" s="14" t="s">
        <v>141</v>
      </c>
      <c r="C36" s="406">
        <v>72000</v>
      </c>
      <c r="D36" s="406">
        <v>47944</v>
      </c>
      <c r="E36" s="406">
        <v>593027</v>
      </c>
      <c r="F36" s="406">
        <f>SUM('- 56 -'!C36:G36,C36:E36)</f>
        <v>4238966</v>
      </c>
    </row>
    <row r="37" spans="1:6" ht="12.75">
      <c r="A37" s="358">
        <v>31</v>
      </c>
      <c r="B37" s="12" t="s">
        <v>142</v>
      </c>
      <c r="C37" s="405">
        <v>92250</v>
      </c>
      <c r="D37" s="405">
        <v>54812</v>
      </c>
      <c r="E37" s="405">
        <v>815083</v>
      </c>
      <c r="F37" s="405">
        <f>SUM('- 56 -'!C37:G37,C37:E37)</f>
        <v>5275217</v>
      </c>
    </row>
    <row r="38" spans="1:6" ht="12.75">
      <c r="A38" s="359">
        <v>32</v>
      </c>
      <c r="B38" s="14" t="s">
        <v>143</v>
      </c>
      <c r="C38" s="406">
        <v>44100</v>
      </c>
      <c r="D38" s="406">
        <v>33089</v>
      </c>
      <c r="E38" s="406">
        <v>504039</v>
      </c>
      <c r="F38" s="406">
        <f>SUM('- 56 -'!C38:G38,C38:E38)</f>
        <v>3011136</v>
      </c>
    </row>
    <row r="39" spans="1:6" ht="12.75">
      <c r="A39" s="358">
        <v>33</v>
      </c>
      <c r="B39" s="12" t="s">
        <v>144</v>
      </c>
      <c r="C39" s="405">
        <v>103050</v>
      </c>
      <c r="D39" s="405">
        <v>61686</v>
      </c>
      <c r="E39" s="405">
        <v>909427</v>
      </c>
      <c r="F39" s="405">
        <f>SUM('- 56 -'!C39:G39,C39:E39)</f>
        <v>5892482</v>
      </c>
    </row>
    <row r="40" spans="1:6" ht="12.75">
      <c r="A40" s="359">
        <v>34</v>
      </c>
      <c r="B40" s="14" t="s">
        <v>145</v>
      </c>
      <c r="C40" s="406">
        <v>40050</v>
      </c>
      <c r="D40" s="406">
        <v>27423</v>
      </c>
      <c r="E40" s="406">
        <v>491708</v>
      </c>
      <c r="F40" s="406">
        <f>SUM('- 56 -'!C40:G40,C40:E40)</f>
        <v>2761643</v>
      </c>
    </row>
    <row r="41" spans="1:6" ht="12.75">
      <c r="A41" s="358">
        <v>35</v>
      </c>
      <c r="B41" s="12" t="s">
        <v>146</v>
      </c>
      <c r="C41" s="405">
        <v>99450</v>
      </c>
      <c r="D41" s="405">
        <v>62544</v>
      </c>
      <c r="E41" s="405">
        <v>990000</v>
      </c>
      <c r="F41" s="405">
        <f>SUM('- 56 -'!C41:G41,C41:E41)</f>
        <v>6085906</v>
      </c>
    </row>
    <row r="42" spans="1:6" ht="12.75">
      <c r="A42" s="359">
        <v>36</v>
      </c>
      <c r="B42" s="14" t="s">
        <v>147</v>
      </c>
      <c r="C42" s="406">
        <v>58500</v>
      </c>
      <c r="D42" s="406">
        <v>37288</v>
      </c>
      <c r="E42" s="406">
        <v>577500</v>
      </c>
      <c r="F42" s="406">
        <f>SUM('- 56 -'!C42:G42,C42:E42)</f>
        <v>3275692</v>
      </c>
    </row>
    <row r="43" spans="1:6" ht="12.75">
      <c r="A43" s="358">
        <v>37</v>
      </c>
      <c r="B43" s="12" t="s">
        <v>148</v>
      </c>
      <c r="C43" s="405">
        <v>49050</v>
      </c>
      <c r="D43" s="405">
        <v>33062</v>
      </c>
      <c r="E43" s="405">
        <v>498124</v>
      </c>
      <c r="F43" s="405">
        <f>SUM('- 56 -'!C43:G43,C43:E43)</f>
        <v>2922786</v>
      </c>
    </row>
    <row r="44" spans="1:6" ht="12.75">
      <c r="A44" s="359">
        <v>38</v>
      </c>
      <c r="B44" s="14" t="s">
        <v>149</v>
      </c>
      <c r="C44" s="406">
        <v>63900</v>
      </c>
      <c r="D44" s="406">
        <v>43228</v>
      </c>
      <c r="E44" s="406">
        <v>679370</v>
      </c>
      <c r="F44" s="406">
        <f>SUM('- 56 -'!C44:G44,C44:E44)</f>
        <v>3723602</v>
      </c>
    </row>
    <row r="45" spans="1:6" ht="12.75">
      <c r="A45" s="358">
        <v>39</v>
      </c>
      <c r="B45" s="12" t="s">
        <v>150</v>
      </c>
      <c r="C45" s="405">
        <v>115200</v>
      </c>
      <c r="D45" s="405">
        <v>74910</v>
      </c>
      <c r="E45" s="405">
        <v>1078911</v>
      </c>
      <c r="F45" s="405">
        <f>SUM('- 56 -'!C45:G45,C45:E45)</f>
        <v>6914701</v>
      </c>
    </row>
    <row r="46" spans="1:6" ht="12.75">
      <c r="A46" s="359">
        <v>40</v>
      </c>
      <c r="B46" s="14" t="s">
        <v>151</v>
      </c>
      <c r="C46" s="406">
        <v>391500</v>
      </c>
      <c r="D46" s="406">
        <v>232143</v>
      </c>
      <c r="E46" s="406">
        <v>2805000</v>
      </c>
      <c r="F46" s="406">
        <f>SUM('- 56 -'!C46:G46,C46:E46)</f>
        <v>21011604</v>
      </c>
    </row>
    <row r="47" spans="1:6" ht="12.75">
      <c r="A47" s="358">
        <v>41</v>
      </c>
      <c r="B47" s="12" t="s">
        <v>152</v>
      </c>
      <c r="C47" s="405">
        <v>86850</v>
      </c>
      <c r="D47" s="405">
        <v>54874</v>
      </c>
      <c r="E47" s="405">
        <v>861790</v>
      </c>
      <c r="F47" s="405">
        <f>SUM('- 56 -'!C47:G47,C47:E47)</f>
        <v>4813367</v>
      </c>
    </row>
    <row r="48" spans="1:6" ht="12.75">
      <c r="A48" s="359">
        <v>42</v>
      </c>
      <c r="B48" s="14" t="s">
        <v>153</v>
      </c>
      <c r="C48" s="406">
        <v>59850</v>
      </c>
      <c r="D48" s="406">
        <v>39953</v>
      </c>
      <c r="E48" s="406">
        <v>522046</v>
      </c>
      <c r="F48" s="406">
        <f>SUM('- 56 -'!C48:G48,C48:E48)</f>
        <v>3441651</v>
      </c>
    </row>
    <row r="49" spans="1:6" ht="12.75">
      <c r="A49" s="358">
        <v>43</v>
      </c>
      <c r="B49" s="12" t="s">
        <v>154</v>
      </c>
      <c r="C49" s="405">
        <v>44100</v>
      </c>
      <c r="D49" s="405">
        <v>31792</v>
      </c>
      <c r="E49" s="405">
        <v>430413</v>
      </c>
      <c r="F49" s="405">
        <f>SUM('- 56 -'!C49:G49,C49:E49)</f>
        <v>2464905</v>
      </c>
    </row>
    <row r="50" spans="1:6" ht="12.75">
      <c r="A50" s="359">
        <v>44</v>
      </c>
      <c r="B50" s="14" t="s">
        <v>155</v>
      </c>
      <c r="C50" s="406">
        <v>71550</v>
      </c>
      <c r="D50" s="406">
        <v>44224</v>
      </c>
      <c r="E50" s="406">
        <v>577500</v>
      </c>
      <c r="F50" s="406">
        <f>SUM('- 56 -'!C50:G50,C50:E50)</f>
        <v>3967180</v>
      </c>
    </row>
    <row r="51" spans="1:6" ht="12.75">
      <c r="A51" s="358">
        <v>45</v>
      </c>
      <c r="B51" s="12" t="s">
        <v>156</v>
      </c>
      <c r="C51" s="405">
        <v>96750</v>
      </c>
      <c r="D51" s="405">
        <v>59164</v>
      </c>
      <c r="E51" s="405">
        <v>825000</v>
      </c>
      <c r="F51" s="405">
        <f>SUM('- 56 -'!C51:G51,C51:E51)</f>
        <v>6171078</v>
      </c>
    </row>
    <row r="52" spans="1:6" ht="12.75">
      <c r="A52" s="359">
        <v>46</v>
      </c>
      <c r="B52" s="14" t="s">
        <v>157</v>
      </c>
      <c r="C52" s="406">
        <v>72900</v>
      </c>
      <c r="D52" s="406">
        <v>44852</v>
      </c>
      <c r="E52" s="406">
        <v>577500</v>
      </c>
      <c r="F52" s="406">
        <f>SUM('- 56 -'!C52:G52,C52:E52)</f>
        <v>4629039</v>
      </c>
    </row>
    <row r="53" spans="1:6" ht="12.75">
      <c r="A53" s="358">
        <v>47</v>
      </c>
      <c r="B53" s="12" t="s">
        <v>158</v>
      </c>
      <c r="C53" s="405">
        <v>73800</v>
      </c>
      <c r="D53" s="405">
        <v>47977</v>
      </c>
      <c r="E53" s="405">
        <v>577500</v>
      </c>
      <c r="F53" s="405">
        <f>SUM('- 56 -'!C53:G53,C53:E53)</f>
        <v>4359246</v>
      </c>
    </row>
    <row r="54" spans="1:6" ht="12.75">
      <c r="A54" s="359">
        <v>48</v>
      </c>
      <c r="B54" s="14" t="s">
        <v>159</v>
      </c>
      <c r="C54" s="406">
        <v>117900</v>
      </c>
      <c r="D54" s="406">
        <v>93119</v>
      </c>
      <c r="E54" s="406">
        <v>3294461</v>
      </c>
      <c r="F54" s="406">
        <f>SUM('- 56 -'!C54:G54,C54:E54)</f>
        <v>12386833</v>
      </c>
    </row>
    <row r="55" spans="1:6" ht="12.75">
      <c r="A55" s="358">
        <v>49</v>
      </c>
      <c r="B55" s="12" t="s">
        <v>160</v>
      </c>
      <c r="C55" s="405">
        <v>222750</v>
      </c>
      <c r="D55" s="405">
        <v>144439</v>
      </c>
      <c r="E55" s="405">
        <v>2062500</v>
      </c>
      <c r="F55" s="405">
        <f>SUM('- 56 -'!C55:G55,C55:E55)</f>
        <v>14204849</v>
      </c>
    </row>
    <row r="56" spans="1:6" ht="12.75">
      <c r="A56" s="359">
        <v>50</v>
      </c>
      <c r="B56" s="14" t="s">
        <v>343</v>
      </c>
      <c r="C56" s="406">
        <v>98100</v>
      </c>
      <c r="D56" s="406">
        <v>66874</v>
      </c>
      <c r="E56" s="406">
        <v>1129704</v>
      </c>
      <c r="F56" s="406">
        <f>SUM('- 56 -'!C56:G56,C56:E56)</f>
        <v>6367348</v>
      </c>
    </row>
    <row r="57" spans="1:6" ht="12.75">
      <c r="A57" s="358">
        <v>2264</v>
      </c>
      <c r="B57" s="12" t="s">
        <v>161</v>
      </c>
      <c r="C57" s="405">
        <v>9000</v>
      </c>
      <c r="D57" s="405">
        <v>9279</v>
      </c>
      <c r="E57" s="405">
        <v>125309</v>
      </c>
      <c r="F57" s="405">
        <f>SUM('- 56 -'!C57:G57,C57:E57)</f>
        <v>736681</v>
      </c>
    </row>
    <row r="58" spans="1:6" ht="12.75">
      <c r="A58" s="359">
        <v>2309</v>
      </c>
      <c r="B58" s="14" t="s">
        <v>162</v>
      </c>
      <c r="C58" s="406">
        <v>12600</v>
      </c>
      <c r="D58" s="406">
        <v>11310</v>
      </c>
      <c r="E58" s="406">
        <v>82500</v>
      </c>
      <c r="F58" s="406">
        <f>SUM('- 56 -'!C58:G58,C58:E58)</f>
        <v>934079</v>
      </c>
    </row>
    <row r="59" spans="1:6" ht="12.75">
      <c r="A59" s="358">
        <v>2312</v>
      </c>
      <c r="B59" s="12" t="s">
        <v>163</v>
      </c>
      <c r="C59" s="405">
        <v>0</v>
      </c>
      <c r="D59" s="405">
        <v>9017</v>
      </c>
      <c r="E59" s="405">
        <v>167606</v>
      </c>
      <c r="F59" s="405">
        <f>SUM('- 56 -'!C59:G59,C59:E59)</f>
        <v>808592</v>
      </c>
    </row>
    <row r="60" spans="1:6" ht="12.75">
      <c r="A60" s="359">
        <v>2355</v>
      </c>
      <c r="B60" s="14" t="s">
        <v>164</v>
      </c>
      <c r="C60" s="406">
        <v>166500</v>
      </c>
      <c r="D60" s="406">
        <v>105001</v>
      </c>
      <c r="E60" s="406">
        <v>1072500</v>
      </c>
      <c r="F60" s="406">
        <f>SUM('- 56 -'!C60:G60,C60:E60)</f>
        <v>11282182</v>
      </c>
    </row>
    <row r="61" spans="1:6" ht="12.75">
      <c r="A61" s="358">
        <v>2439</v>
      </c>
      <c r="B61" s="12" t="s">
        <v>165</v>
      </c>
      <c r="C61" s="405">
        <v>7650</v>
      </c>
      <c r="D61" s="405">
        <v>7450</v>
      </c>
      <c r="E61" s="405">
        <v>79341</v>
      </c>
      <c r="F61" s="405">
        <f>SUM('- 56 -'!C61:G61,C61:E61)</f>
        <v>523982.14</v>
      </c>
    </row>
    <row r="62" spans="1:6" ht="12.75">
      <c r="A62" s="359">
        <v>2460</v>
      </c>
      <c r="B62" s="14" t="s">
        <v>166</v>
      </c>
      <c r="C62" s="406">
        <v>16650</v>
      </c>
      <c r="D62" s="406">
        <v>11100</v>
      </c>
      <c r="E62" s="406">
        <v>165000</v>
      </c>
      <c r="F62" s="406">
        <f>SUM('- 56 -'!C62:G62,C62:E62)</f>
        <v>1185452</v>
      </c>
    </row>
    <row r="63" spans="1:6" ht="12.75">
      <c r="A63" s="358">
        <v>3000</v>
      </c>
      <c r="B63" s="12" t="s">
        <v>366</v>
      </c>
      <c r="C63" s="405">
        <v>0</v>
      </c>
      <c r="D63" s="405">
        <v>2500</v>
      </c>
      <c r="E63" s="405">
        <v>0</v>
      </c>
      <c r="F63" s="405">
        <f>SUM('- 56 -'!C63:G63,C63:E63)</f>
        <v>2500</v>
      </c>
    </row>
    <row r="64" spans="3:6" ht="4.5" customHeight="1">
      <c r="C64" s="412"/>
      <c r="D64" s="412"/>
      <c r="E64" s="412"/>
      <c r="F64" s="412"/>
    </row>
    <row r="65" spans="1:6" ht="12.75">
      <c r="A65" s="99"/>
      <c r="B65" s="18" t="s">
        <v>167</v>
      </c>
      <c r="C65" s="407">
        <f>SUM(C11:C63)</f>
        <v>9311560</v>
      </c>
      <c r="D65" s="407">
        <f>SUM(D11:D63)</f>
        <v>5665339</v>
      </c>
      <c r="E65" s="407">
        <f>SUM(E11:E63)</f>
        <v>77811460</v>
      </c>
      <c r="F65" s="407">
        <f>SUM(F11:F63)</f>
        <v>546660212.14</v>
      </c>
    </row>
    <row r="66" spans="3:6" ht="4.5" customHeight="1">
      <c r="C66" s="412"/>
      <c r="D66" s="412"/>
      <c r="E66" s="412"/>
      <c r="F66" s="412"/>
    </row>
    <row r="67" spans="1:6" ht="12.75">
      <c r="A67" s="96">
        <v>2155</v>
      </c>
      <c r="B67" s="97" t="s">
        <v>168</v>
      </c>
      <c r="C67" s="406">
        <v>4950</v>
      </c>
      <c r="D67" s="406">
        <v>5408</v>
      </c>
      <c r="E67" s="406">
        <v>0</v>
      </c>
      <c r="F67" s="406">
        <f>SUM('- 56 -'!C67:G67,C67:E67)</f>
        <v>117416</v>
      </c>
    </row>
    <row r="68" spans="1:6" ht="12.75">
      <c r="A68" s="94">
        <v>2408</v>
      </c>
      <c r="B68" s="95" t="s">
        <v>170</v>
      </c>
      <c r="C68" s="405">
        <v>15300</v>
      </c>
      <c r="D68" s="405">
        <v>7082</v>
      </c>
      <c r="E68" s="405">
        <v>0</v>
      </c>
      <c r="F68" s="405">
        <f>SUM('- 56 -'!C68:G68,C68:E68)</f>
        <v>316117</v>
      </c>
    </row>
    <row r="69" spans="3:7" ht="6.75" customHeight="1">
      <c r="C69" s="15"/>
      <c r="D69" s="15"/>
      <c r="E69" s="15"/>
      <c r="G69" s="15"/>
    </row>
    <row r="70" spans="1:7" ht="12" customHeight="1">
      <c r="A70" s="52"/>
      <c r="B70" s="267"/>
      <c r="D70" s="120"/>
      <c r="E70" s="120"/>
      <c r="F70" s="120"/>
      <c r="G70" s="120"/>
    </row>
    <row r="71" spans="1:7" ht="12" customHeight="1">
      <c r="A71" s="4"/>
      <c r="B71" s="267"/>
      <c r="D71" s="120"/>
      <c r="E71" s="120"/>
      <c r="F71" s="120"/>
      <c r="G71" s="120"/>
    </row>
    <row r="72" spans="1:7" ht="12" customHeight="1">
      <c r="A72" s="4"/>
      <c r="B72" s="267"/>
      <c r="D72" s="120"/>
      <c r="E72" s="120"/>
      <c r="F72" s="120"/>
      <c r="G72" s="120"/>
    </row>
    <row r="73" spans="1:7" ht="12" customHeight="1">
      <c r="A73" s="4"/>
      <c r="B73" s="4"/>
      <c r="C73" s="15"/>
      <c r="D73" s="126"/>
      <c r="E73" s="126"/>
      <c r="F73" s="126"/>
      <c r="G73" s="126"/>
    </row>
    <row r="74" spans="1:7" ht="12" customHeight="1">
      <c r="A74" s="4"/>
      <c r="B74" s="4"/>
      <c r="C74" s="15"/>
      <c r="D74" s="15"/>
      <c r="E74" s="15"/>
      <c r="F74" s="15"/>
      <c r="G74" s="15"/>
    </row>
    <row r="75" spans="3:7" ht="12" customHeight="1">
      <c r="C75" s="15"/>
      <c r="D75" s="15"/>
      <c r="E75" s="15"/>
      <c r="F75" s="15"/>
      <c r="G75" s="15"/>
    </row>
    <row r="76" spans="4:7" ht="12.75">
      <c r="D76" s="15"/>
      <c r="E76" s="15"/>
      <c r="F76" s="15"/>
      <c r="G76"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79" customWidth="1"/>
    <col min="2" max="2" width="30.83203125" style="79" customWidth="1"/>
    <col min="3" max="3" width="22.83203125" style="79" customWidth="1"/>
    <col min="4" max="5" width="17.83203125" style="79" customWidth="1"/>
    <col min="6" max="6" width="19.83203125" style="79" customWidth="1"/>
    <col min="7" max="7" width="22.83203125" style="79" customWidth="1"/>
    <col min="8" max="8" width="14.83203125" style="79" customWidth="1"/>
    <col min="9" max="16384" width="19.83203125" style="79" customWidth="1"/>
  </cols>
  <sheetData>
    <row r="1" spans="1:7" ht="6.75" customHeight="1">
      <c r="A1" s="15"/>
      <c r="B1" s="77"/>
      <c r="C1" s="77"/>
      <c r="D1" s="77"/>
      <c r="E1" s="77"/>
      <c r="F1" s="77"/>
      <c r="G1" s="77"/>
    </row>
    <row r="2" spans="1:7" ht="12.75">
      <c r="A2" s="9"/>
      <c r="B2" s="103"/>
      <c r="C2" s="104" t="str">
        <f>REVYEAR</f>
        <v>ANALYSIS OF OPERATING FUND REVENUE: 2001/2002 ACTUAL</v>
      </c>
      <c r="D2" s="104"/>
      <c r="E2" s="1"/>
      <c r="F2" s="1"/>
      <c r="G2" s="105" t="s">
        <v>377</v>
      </c>
    </row>
    <row r="3" spans="1:7" ht="12.75">
      <c r="A3" s="10"/>
      <c r="B3" s="106"/>
      <c r="C3" s="106"/>
      <c r="D3" s="77"/>
      <c r="E3" s="77"/>
      <c r="F3" s="77"/>
      <c r="G3" s="77"/>
    </row>
    <row r="4" spans="1:7" ht="12.75">
      <c r="A4" s="8"/>
      <c r="C4" s="108" t="s">
        <v>519</v>
      </c>
      <c r="D4" s="109"/>
      <c r="E4" s="110"/>
      <c r="F4" s="110"/>
      <c r="G4" s="110"/>
    </row>
    <row r="5" spans="1:7" ht="12.75">
      <c r="A5" s="8"/>
      <c r="C5" s="111" t="s">
        <v>516</v>
      </c>
      <c r="D5" s="112"/>
      <c r="E5" s="113"/>
      <c r="F5" s="113"/>
      <c r="G5" s="113"/>
    </row>
    <row r="6" spans="1:7" ht="12.75">
      <c r="A6" s="8"/>
      <c r="C6" s="122" t="s">
        <v>177</v>
      </c>
      <c r="D6" s="104"/>
      <c r="E6" s="104"/>
      <c r="F6" s="123"/>
      <c r="G6" s="130"/>
    </row>
    <row r="7" spans="1:7" ht="12.75">
      <c r="A7" s="15"/>
      <c r="C7" s="114"/>
      <c r="D7" s="114"/>
      <c r="E7" s="43"/>
      <c r="F7" s="114" t="s">
        <v>29</v>
      </c>
      <c r="G7" s="114" t="s">
        <v>382</v>
      </c>
    </row>
    <row r="8" spans="1:7" ht="12.75">
      <c r="A8" s="91"/>
      <c r="B8" s="43"/>
      <c r="C8" s="117" t="s">
        <v>31</v>
      </c>
      <c r="D8" s="117" t="s">
        <v>200</v>
      </c>
      <c r="E8" s="117" t="s">
        <v>82</v>
      </c>
      <c r="F8" s="117" t="s">
        <v>65</v>
      </c>
      <c r="G8" s="117" t="s">
        <v>383</v>
      </c>
    </row>
    <row r="9" spans="1:7" ht="16.5">
      <c r="A9" s="49" t="s">
        <v>101</v>
      </c>
      <c r="B9" s="50" t="s">
        <v>102</v>
      </c>
      <c r="C9" s="414" t="s">
        <v>354</v>
      </c>
      <c r="D9" s="119" t="s">
        <v>415</v>
      </c>
      <c r="E9" s="119" t="s">
        <v>416</v>
      </c>
      <c r="F9" s="119" t="s">
        <v>99</v>
      </c>
      <c r="G9" s="119" t="s">
        <v>451</v>
      </c>
    </row>
    <row r="10" spans="1:6" ht="4.5" customHeight="1">
      <c r="A10" s="74"/>
      <c r="B10" s="74"/>
      <c r="C10" s="77"/>
      <c r="D10" s="77"/>
      <c r="E10" s="77"/>
      <c r="F10" s="77"/>
    </row>
    <row r="11" spans="1:7" ht="12.75">
      <c r="A11" s="358">
        <v>1</v>
      </c>
      <c r="B11" s="12" t="s">
        <v>116</v>
      </c>
      <c r="C11" s="405">
        <v>1120513</v>
      </c>
      <c r="D11" s="405">
        <v>10524608</v>
      </c>
      <c r="E11" s="405">
        <v>6990982</v>
      </c>
      <c r="F11" s="405">
        <v>1246125</v>
      </c>
      <c r="G11" s="405">
        <v>1634837</v>
      </c>
    </row>
    <row r="12" spans="1:7" ht="12.75">
      <c r="A12" s="359">
        <v>2</v>
      </c>
      <c r="B12" s="14" t="s">
        <v>117</v>
      </c>
      <c r="C12" s="406">
        <v>571010</v>
      </c>
      <c r="D12" s="406">
        <v>3357582</v>
      </c>
      <c r="E12" s="406">
        <v>347905</v>
      </c>
      <c r="F12" s="406">
        <v>505900</v>
      </c>
      <c r="G12" s="406">
        <v>145180</v>
      </c>
    </row>
    <row r="13" spans="1:7" ht="12.75">
      <c r="A13" s="358">
        <v>3</v>
      </c>
      <c r="B13" s="12" t="s">
        <v>118</v>
      </c>
      <c r="C13" s="405">
        <v>254358</v>
      </c>
      <c r="D13" s="405">
        <v>1742554</v>
      </c>
      <c r="E13" s="405">
        <v>130021</v>
      </c>
      <c r="F13" s="405">
        <v>127175</v>
      </c>
      <c r="G13" s="405">
        <v>34040</v>
      </c>
    </row>
    <row r="14" spans="1:7" ht="12.75">
      <c r="A14" s="359">
        <v>4</v>
      </c>
      <c r="B14" s="14" t="s">
        <v>119</v>
      </c>
      <c r="C14" s="406">
        <v>362137</v>
      </c>
      <c r="D14" s="406">
        <v>2011014</v>
      </c>
      <c r="E14" s="406">
        <v>170447</v>
      </c>
      <c r="F14" s="406">
        <v>226825</v>
      </c>
      <c r="G14" s="406">
        <v>113002</v>
      </c>
    </row>
    <row r="15" spans="1:7" ht="12.75">
      <c r="A15" s="358">
        <v>5</v>
      </c>
      <c r="B15" s="12" t="s">
        <v>120</v>
      </c>
      <c r="C15" s="405">
        <v>294809</v>
      </c>
      <c r="D15" s="405">
        <v>2108111</v>
      </c>
      <c r="E15" s="405">
        <v>175799</v>
      </c>
      <c r="F15" s="405">
        <v>49375</v>
      </c>
      <c r="G15" s="405">
        <v>57605</v>
      </c>
    </row>
    <row r="16" spans="1:7" ht="12.75">
      <c r="A16" s="359">
        <v>6</v>
      </c>
      <c r="B16" s="14" t="s">
        <v>121</v>
      </c>
      <c r="C16" s="406">
        <v>524849</v>
      </c>
      <c r="D16" s="406">
        <v>2961444</v>
      </c>
      <c r="E16" s="406">
        <v>368388</v>
      </c>
      <c r="F16" s="406">
        <v>231300</v>
      </c>
      <c r="G16" s="406">
        <v>179808</v>
      </c>
    </row>
    <row r="17" spans="1:7" ht="12.75">
      <c r="A17" s="358">
        <v>9</v>
      </c>
      <c r="B17" s="12" t="s">
        <v>122</v>
      </c>
      <c r="C17" s="405">
        <v>1274470</v>
      </c>
      <c r="D17" s="405">
        <v>4187681</v>
      </c>
      <c r="E17" s="405">
        <v>460825</v>
      </c>
      <c r="F17" s="405">
        <v>553350</v>
      </c>
      <c r="G17" s="405">
        <v>169473</v>
      </c>
    </row>
    <row r="18" spans="1:7" ht="12.75">
      <c r="A18" s="359">
        <v>10</v>
      </c>
      <c r="B18" s="14" t="s">
        <v>123</v>
      </c>
      <c r="C18" s="406">
        <v>791315</v>
      </c>
      <c r="D18" s="406">
        <v>2965374</v>
      </c>
      <c r="E18" s="406">
        <v>433045</v>
      </c>
      <c r="F18" s="406">
        <v>327000</v>
      </c>
      <c r="G18" s="406">
        <v>206976</v>
      </c>
    </row>
    <row r="19" spans="1:7" ht="12.75">
      <c r="A19" s="358">
        <v>11</v>
      </c>
      <c r="B19" s="12" t="s">
        <v>124</v>
      </c>
      <c r="C19" s="405">
        <v>1648518</v>
      </c>
      <c r="D19" s="405">
        <v>1847110</v>
      </c>
      <c r="E19" s="405">
        <v>131905</v>
      </c>
      <c r="F19" s="405">
        <v>341300</v>
      </c>
      <c r="G19" s="405">
        <v>251784</v>
      </c>
    </row>
    <row r="20" spans="1:7" ht="12.75">
      <c r="A20" s="359">
        <v>12</v>
      </c>
      <c r="B20" s="14" t="s">
        <v>125</v>
      </c>
      <c r="C20" s="406">
        <v>1507144</v>
      </c>
      <c r="D20" s="406">
        <v>2145330</v>
      </c>
      <c r="E20" s="406">
        <v>225901</v>
      </c>
      <c r="F20" s="406">
        <v>270500</v>
      </c>
      <c r="G20" s="406">
        <v>113286</v>
      </c>
    </row>
    <row r="21" spans="1:7" ht="12.75">
      <c r="A21" s="358">
        <v>13</v>
      </c>
      <c r="B21" s="12" t="s">
        <v>126</v>
      </c>
      <c r="C21" s="405">
        <v>1390041</v>
      </c>
      <c r="D21" s="405">
        <v>961899</v>
      </c>
      <c r="E21" s="405">
        <v>52468</v>
      </c>
      <c r="F21" s="405">
        <v>52500</v>
      </c>
      <c r="G21" s="405">
        <v>70362</v>
      </c>
    </row>
    <row r="22" spans="1:7" ht="12.75">
      <c r="A22" s="359">
        <v>14</v>
      </c>
      <c r="B22" s="14" t="s">
        <v>127</v>
      </c>
      <c r="C22" s="406">
        <v>1304014</v>
      </c>
      <c r="D22" s="406">
        <v>1593094</v>
      </c>
      <c r="E22" s="406">
        <v>69674</v>
      </c>
      <c r="F22" s="406">
        <v>94550</v>
      </c>
      <c r="G22" s="406">
        <v>155848</v>
      </c>
    </row>
    <row r="23" spans="1:7" ht="12.75">
      <c r="A23" s="358">
        <v>15</v>
      </c>
      <c r="B23" s="12" t="s">
        <v>128</v>
      </c>
      <c r="C23" s="405">
        <v>1848642</v>
      </c>
      <c r="D23" s="405">
        <v>1304361</v>
      </c>
      <c r="E23" s="405">
        <v>123056</v>
      </c>
      <c r="F23" s="405">
        <v>348625</v>
      </c>
      <c r="G23" s="405">
        <v>57963</v>
      </c>
    </row>
    <row r="24" spans="1:7" ht="12.75">
      <c r="A24" s="359">
        <v>16</v>
      </c>
      <c r="B24" s="14" t="s">
        <v>129</v>
      </c>
      <c r="C24" s="406">
        <v>580400</v>
      </c>
      <c r="D24" s="406">
        <v>293279</v>
      </c>
      <c r="E24" s="406">
        <v>15000</v>
      </c>
      <c r="F24" s="406">
        <v>70750</v>
      </c>
      <c r="G24" s="406">
        <v>10212</v>
      </c>
    </row>
    <row r="25" spans="1:7" ht="12.75">
      <c r="A25" s="358">
        <v>17</v>
      </c>
      <c r="B25" s="12" t="s">
        <v>130</v>
      </c>
      <c r="C25" s="405">
        <v>396876</v>
      </c>
      <c r="D25" s="405">
        <v>177505</v>
      </c>
      <c r="E25" s="405">
        <v>15000</v>
      </c>
      <c r="F25" s="405">
        <v>26300</v>
      </c>
      <c r="G25" s="405">
        <v>26793</v>
      </c>
    </row>
    <row r="26" spans="1:7" ht="12.75">
      <c r="A26" s="359">
        <v>18</v>
      </c>
      <c r="B26" s="14" t="s">
        <v>131</v>
      </c>
      <c r="C26" s="406">
        <v>587428</v>
      </c>
      <c r="D26" s="406">
        <v>391284</v>
      </c>
      <c r="E26" s="406">
        <v>27296</v>
      </c>
      <c r="F26" s="406">
        <v>87200</v>
      </c>
      <c r="G26" s="406">
        <v>2600</v>
      </c>
    </row>
    <row r="27" spans="1:7" ht="12.75">
      <c r="A27" s="358">
        <v>19</v>
      </c>
      <c r="B27" s="12" t="s">
        <v>132</v>
      </c>
      <c r="C27" s="405">
        <v>830867</v>
      </c>
      <c r="D27" s="405">
        <v>782643</v>
      </c>
      <c r="E27" s="405">
        <v>40388</v>
      </c>
      <c r="F27" s="405">
        <v>63125</v>
      </c>
      <c r="G27" s="405">
        <v>54243</v>
      </c>
    </row>
    <row r="28" spans="1:7" ht="12.75">
      <c r="A28" s="359">
        <v>20</v>
      </c>
      <c r="B28" s="14" t="s">
        <v>133</v>
      </c>
      <c r="C28" s="406">
        <v>434659</v>
      </c>
      <c r="D28" s="406">
        <v>361057</v>
      </c>
      <c r="E28" s="406">
        <v>24254</v>
      </c>
      <c r="F28" s="406">
        <v>22300</v>
      </c>
      <c r="G28" s="406">
        <v>69684</v>
      </c>
    </row>
    <row r="29" spans="1:7" ht="12.75">
      <c r="A29" s="358">
        <v>21</v>
      </c>
      <c r="B29" s="12" t="s">
        <v>134</v>
      </c>
      <c r="C29" s="405">
        <v>1350656</v>
      </c>
      <c r="D29" s="405">
        <v>1069204</v>
      </c>
      <c r="E29" s="405">
        <v>68352</v>
      </c>
      <c r="F29" s="405">
        <v>99050</v>
      </c>
      <c r="G29" s="405">
        <v>46074</v>
      </c>
    </row>
    <row r="30" spans="1:7" ht="12.75">
      <c r="A30" s="359">
        <v>22</v>
      </c>
      <c r="B30" s="14" t="s">
        <v>135</v>
      </c>
      <c r="C30" s="406">
        <v>820742</v>
      </c>
      <c r="D30" s="406">
        <v>621170</v>
      </c>
      <c r="E30" s="406">
        <v>35757</v>
      </c>
      <c r="F30" s="406">
        <v>49500</v>
      </c>
      <c r="G30" s="406">
        <v>48078</v>
      </c>
    </row>
    <row r="31" spans="1:7" ht="12.75">
      <c r="A31" s="358">
        <v>23</v>
      </c>
      <c r="B31" s="12" t="s">
        <v>136</v>
      </c>
      <c r="C31" s="405">
        <v>1007178</v>
      </c>
      <c r="D31" s="405">
        <v>640348</v>
      </c>
      <c r="E31" s="405">
        <v>35317</v>
      </c>
      <c r="F31" s="405">
        <v>49300</v>
      </c>
      <c r="G31" s="405">
        <v>99720</v>
      </c>
    </row>
    <row r="32" spans="1:7" ht="12.75">
      <c r="A32" s="359">
        <v>24</v>
      </c>
      <c r="B32" s="14" t="s">
        <v>137</v>
      </c>
      <c r="C32" s="406">
        <v>752809</v>
      </c>
      <c r="D32" s="406">
        <v>1091547</v>
      </c>
      <c r="E32" s="406">
        <v>291911</v>
      </c>
      <c r="F32" s="406">
        <v>140800</v>
      </c>
      <c r="G32" s="406">
        <v>208122</v>
      </c>
    </row>
    <row r="33" spans="1:7" ht="12.75">
      <c r="A33" s="358">
        <v>25</v>
      </c>
      <c r="B33" s="12" t="s">
        <v>138</v>
      </c>
      <c r="C33" s="405">
        <v>792631</v>
      </c>
      <c r="D33" s="405">
        <v>338045</v>
      </c>
      <c r="E33" s="405">
        <v>30100</v>
      </c>
      <c r="F33" s="405">
        <v>85050</v>
      </c>
      <c r="G33" s="405">
        <v>14190</v>
      </c>
    </row>
    <row r="34" spans="1:7" ht="12.75">
      <c r="A34" s="359">
        <v>26</v>
      </c>
      <c r="B34" s="14" t="s">
        <v>139</v>
      </c>
      <c r="C34" s="406">
        <v>743491</v>
      </c>
      <c r="D34" s="406">
        <v>839284</v>
      </c>
      <c r="E34" s="406">
        <v>59293</v>
      </c>
      <c r="F34" s="406">
        <v>173650</v>
      </c>
      <c r="G34" s="406">
        <v>0</v>
      </c>
    </row>
    <row r="35" spans="1:7" ht="12.75">
      <c r="A35" s="358">
        <v>28</v>
      </c>
      <c r="B35" s="12" t="s">
        <v>140</v>
      </c>
      <c r="C35" s="405">
        <v>462993</v>
      </c>
      <c r="D35" s="405">
        <v>250606</v>
      </c>
      <c r="E35" s="405">
        <v>17284</v>
      </c>
      <c r="F35" s="405">
        <v>23425</v>
      </c>
      <c r="G35" s="405">
        <v>3590</v>
      </c>
    </row>
    <row r="36" spans="1:7" ht="12.75">
      <c r="A36" s="359">
        <v>30</v>
      </c>
      <c r="B36" s="14" t="s">
        <v>141</v>
      </c>
      <c r="C36" s="406">
        <v>825531</v>
      </c>
      <c r="D36" s="406">
        <v>624073</v>
      </c>
      <c r="E36" s="406">
        <v>27176</v>
      </c>
      <c r="F36" s="406">
        <v>29500</v>
      </c>
      <c r="G36" s="406">
        <v>43560</v>
      </c>
    </row>
    <row r="37" spans="1:7" ht="12.75">
      <c r="A37" s="358">
        <v>31</v>
      </c>
      <c r="B37" s="12" t="s">
        <v>142</v>
      </c>
      <c r="C37" s="405">
        <v>721973</v>
      </c>
      <c r="D37" s="405">
        <v>493703</v>
      </c>
      <c r="E37" s="405">
        <v>33872</v>
      </c>
      <c r="F37" s="405">
        <v>30150</v>
      </c>
      <c r="G37" s="405">
        <v>12210</v>
      </c>
    </row>
    <row r="38" spans="1:7" ht="12.75">
      <c r="A38" s="359">
        <v>32</v>
      </c>
      <c r="B38" s="14" t="s">
        <v>143</v>
      </c>
      <c r="C38" s="406">
        <v>705346</v>
      </c>
      <c r="D38" s="406">
        <v>394179</v>
      </c>
      <c r="E38" s="406">
        <v>36357</v>
      </c>
      <c r="F38" s="406">
        <v>35900</v>
      </c>
      <c r="G38" s="406">
        <v>63454</v>
      </c>
    </row>
    <row r="39" spans="1:7" ht="12.75">
      <c r="A39" s="358">
        <v>33</v>
      </c>
      <c r="B39" s="12" t="s">
        <v>144</v>
      </c>
      <c r="C39" s="405">
        <v>619117</v>
      </c>
      <c r="D39" s="405">
        <v>655189</v>
      </c>
      <c r="E39" s="405">
        <v>44162</v>
      </c>
      <c r="F39" s="405">
        <v>191900</v>
      </c>
      <c r="G39" s="405">
        <v>88261</v>
      </c>
    </row>
    <row r="40" spans="1:7" ht="12.75">
      <c r="A40" s="359">
        <v>34</v>
      </c>
      <c r="B40" s="14" t="s">
        <v>145</v>
      </c>
      <c r="C40" s="406">
        <v>542884</v>
      </c>
      <c r="D40" s="406">
        <v>260090</v>
      </c>
      <c r="E40" s="406">
        <v>70288</v>
      </c>
      <c r="F40" s="406">
        <v>23450</v>
      </c>
      <c r="G40" s="406">
        <v>60582</v>
      </c>
    </row>
    <row r="41" spans="1:7" ht="12.75">
      <c r="A41" s="358">
        <v>35</v>
      </c>
      <c r="B41" s="12" t="s">
        <v>146</v>
      </c>
      <c r="C41" s="405">
        <v>1067976</v>
      </c>
      <c r="D41" s="405">
        <v>603756</v>
      </c>
      <c r="E41" s="405">
        <v>50082</v>
      </c>
      <c r="F41" s="405">
        <v>191650</v>
      </c>
      <c r="G41" s="405">
        <v>118872</v>
      </c>
    </row>
    <row r="42" spans="1:7" ht="12.75">
      <c r="A42" s="359">
        <v>36</v>
      </c>
      <c r="B42" s="14" t="s">
        <v>147</v>
      </c>
      <c r="C42" s="406">
        <v>653578</v>
      </c>
      <c r="D42" s="406">
        <v>183410</v>
      </c>
      <c r="E42" s="406">
        <v>24440</v>
      </c>
      <c r="F42" s="406">
        <v>23575</v>
      </c>
      <c r="G42" s="406">
        <v>15020</v>
      </c>
    </row>
    <row r="43" spans="1:7" ht="12.75">
      <c r="A43" s="358">
        <v>37</v>
      </c>
      <c r="B43" s="12" t="s">
        <v>148</v>
      </c>
      <c r="C43" s="405">
        <v>580411</v>
      </c>
      <c r="D43" s="405">
        <v>245587</v>
      </c>
      <c r="E43" s="405">
        <v>18648</v>
      </c>
      <c r="F43" s="405">
        <v>31600</v>
      </c>
      <c r="G43" s="405">
        <v>55380</v>
      </c>
    </row>
    <row r="44" spans="1:7" ht="12.75">
      <c r="A44" s="359">
        <v>38</v>
      </c>
      <c r="B44" s="14" t="s">
        <v>149</v>
      </c>
      <c r="C44" s="406">
        <v>763598</v>
      </c>
      <c r="D44" s="406">
        <v>308848</v>
      </c>
      <c r="E44" s="406">
        <v>23180</v>
      </c>
      <c r="F44" s="406">
        <v>18700</v>
      </c>
      <c r="G44" s="406">
        <v>11885</v>
      </c>
    </row>
    <row r="45" spans="1:7" ht="12.75">
      <c r="A45" s="358">
        <v>39</v>
      </c>
      <c r="B45" s="12" t="s">
        <v>150</v>
      </c>
      <c r="C45" s="405">
        <v>1096204</v>
      </c>
      <c r="D45" s="405">
        <v>605955</v>
      </c>
      <c r="E45" s="405">
        <v>49779</v>
      </c>
      <c r="F45" s="405">
        <v>33525</v>
      </c>
      <c r="G45" s="405">
        <v>33567</v>
      </c>
    </row>
    <row r="46" spans="1:7" ht="12.75">
      <c r="A46" s="359">
        <v>40</v>
      </c>
      <c r="B46" s="14" t="s">
        <v>151</v>
      </c>
      <c r="C46" s="406">
        <v>744572</v>
      </c>
      <c r="D46" s="406">
        <v>2402677</v>
      </c>
      <c r="E46" s="406">
        <v>375689</v>
      </c>
      <c r="F46" s="406">
        <v>435200</v>
      </c>
      <c r="G46" s="406">
        <v>274467</v>
      </c>
    </row>
    <row r="47" spans="1:7" ht="12.75">
      <c r="A47" s="358">
        <v>41</v>
      </c>
      <c r="B47" s="12" t="s">
        <v>152</v>
      </c>
      <c r="C47" s="405">
        <v>938139</v>
      </c>
      <c r="D47" s="405">
        <v>473643</v>
      </c>
      <c r="E47" s="405">
        <v>31426</v>
      </c>
      <c r="F47" s="405">
        <v>92500</v>
      </c>
      <c r="G47" s="405">
        <v>6850</v>
      </c>
    </row>
    <row r="48" spans="1:7" ht="12.75">
      <c r="A48" s="359">
        <v>42</v>
      </c>
      <c r="B48" s="14" t="s">
        <v>153</v>
      </c>
      <c r="C48" s="406">
        <v>594329</v>
      </c>
      <c r="D48" s="406">
        <v>301587</v>
      </c>
      <c r="E48" s="406">
        <v>21902</v>
      </c>
      <c r="F48" s="406">
        <v>22050</v>
      </c>
      <c r="G48" s="406">
        <v>2930</v>
      </c>
    </row>
    <row r="49" spans="1:7" ht="12.75">
      <c r="A49" s="358">
        <v>43</v>
      </c>
      <c r="B49" s="12" t="s">
        <v>154</v>
      </c>
      <c r="C49" s="405">
        <v>544468</v>
      </c>
      <c r="D49" s="405">
        <v>148562</v>
      </c>
      <c r="E49" s="405">
        <v>16510</v>
      </c>
      <c r="F49" s="405">
        <v>200</v>
      </c>
      <c r="G49" s="405">
        <v>6355</v>
      </c>
    </row>
    <row r="50" spans="1:7" ht="12.75">
      <c r="A50" s="359">
        <v>44</v>
      </c>
      <c r="B50" s="14" t="s">
        <v>155</v>
      </c>
      <c r="C50" s="406">
        <v>671206</v>
      </c>
      <c r="D50" s="406">
        <v>321270</v>
      </c>
      <c r="E50" s="406">
        <v>25680</v>
      </c>
      <c r="F50" s="406">
        <v>40350</v>
      </c>
      <c r="G50" s="406">
        <v>9490</v>
      </c>
    </row>
    <row r="51" spans="1:7" ht="12.75">
      <c r="A51" s="358">
        <v>45</v>
      </c>
      <c r="B51" s="12" t="s">
        <v>156</v>
      </c>
      <c r="C51" s="405">
        <v>298966</v>
      </c>
      <c r="D51" s="405">
        <v>799632</v>
      </c>
      <c r="E51" s="405">
        <v>132179</v>
      </c>
      <c r="F51" s="405">
        <v>42700</v>
      </c>
      <c r="G51" s="405">
        <v>125750</v>
      </c>
    </row>
    <row r="52" spans="1:7" ht="12.75">
      <c r="A52" s="359">
        <v>46</v>
      </c>
      <c r="B52" s="14" t="s">
        <v>157</v>
      </c>
      <c r="C52" s="406">
        <v>34158</v>
      </c>
      <c r="D52" s="406">
        <v>352525</v>
      </c>
      <c r="E52" s="406">
        <v>33909</v>
      </c>
      <c r="F52" s="406">
        <v>53425</v>
      </c>
      <c r="G52" s="406">
        <v>43799</v>
      </c>
    </row>
    <row r="53" spans="1:7" ht="12.75">
      <c r="A53" s="358">
        <v>47</v>
      </c>
      <c r="B53" s="12" t="s">
        <v>158</v>
      </c>
      <c r="C53" s="405">
        <v>376464</v>
      </c>
      <c r="D53" s="405">
        <v>421804</v>
      </c>
      <c r="E53" s="405">
        <v>36554</v>
      </c>
      <c r="F53" s="405">
        <v>58250</v>
      </c>
      <c r="G53" s="405">
        <v>14190</v>
      </c>
    </row>
    <row r="54" spans="1:7" ht="12.75">
      <c r="A54" s="359">
        <v>48</v>
      </c>
      <c r="B54" s="14" t="s">
        <v>159</v>
      </c>
      <c r="C54" s="406">
        <v>1208052</v>
      </c>
      <c r="D54" s="406">
        <v>745177</v>
      </c>
      <c r="E54" s="406">
        <v>425093</v>
      </c>
      <c r="F54" s="406">
        <v>51175</v>
      </c>
      <c r="G54" s="406">
        <v>357000</v>
      </c>
    </row>
    <row r="55" spans="1:7" ht="12.75">
      <c r="A55" s="358">
        <v>49</v>
      </c>
      <c r="B55" s="12" t="s">
        <v>160</v>
      </c>
      <c r="C55" s="405">
        <v>2035187</v>
      </c>
      <c r="D55" s="405">
        <v>814107</v>
      </c>
      <c r="E55" s="405">
        <v>108127</v>
      </c>
      <c r="F55" s="405">
        <v>24450</v>
      </c>
      <c r="G55" s="405">
        <v>62400</v>
      </c>
    </row>
    <row r="56" spans="1:7" ht="12.75">
      <c r="A56" s="359">
        <v>50</v>
      </c>
      <c r="B56" s="14" t="s">
        <v>343</v>
      </c>
      <c r="C56" s="406">
        <v>1135062</v>
      </c>
      <c r="D56" s="406">
        <v>630175</v>
      </c>
      <c r="E56" s="406">
        <v>37032</v>
      </c>
      <c r="F56" s="406">
        <v>41800</v>
      </c>
      <c r="G56" s="406">
        <v>10560</v>
      </c>
    </row>
    <row r="57" spans="1:7" ht="12.75">
      <c r="A57" s="358">
        <v>2264</v>
      </c>
      <c r="B57" s="12" t="s">
        <v>161</v>
      </c>
      <c r="C57" s="405">
        <v>54299</v>
      </c>
      <c r="D57" s="405">
        <v>138128</v>
      </c>
      <c r="E57" s="405">
        <v>15000</v>
      </c>
      <c r="F57" s="405">
        <v>350</v>
      </c>
      <c r="G57" s="405">
        <v>33765</v>
      </c>
    </row>
    <row r="58" spans="1:7" ht="12.75">
      <c r="A58" s="359">
        <v>2309</v>
      </c>
      <c r="B58" s="14" t="s">
        <v>162</v>
      </c>
      <c r="C58" s="406">
        <v>18189</v>
      </c>
      <c r="D58" s="406">
        <v>82308</v>
      </c>
      <c r="E58" s="406">
        <v>15000</v>
      </c>
      <c r="F58" s="406">
        <v>4800</v>
      </c>
      <c r="G58" s="406">
        <v>0</v>
      </c>
    </row>
    <row r="59" spans="1:7" ht="12.75">
      <c r="A59" s="358">
        <v>2312</v>
      </c>
      <c r="B59" s="12" t="s">
        <v>163</v>
      </c>
      <c r="C59" s="405">
        <v>923</v>
      </c>
      <c r="D59" s="405">
        <v>125128</v>
      </c>
      <c r="E59" s="405">
        <v>15000</v>
      </c>
      <c r="F59" s="405">
        <v>3650</v>
      </c>
      <c r="G59" s="405">
        <v>34246</v>
      </c>
    </row>
    <row r="60" spans="1:7" ht="12.75">
      <c r="A60" s="359">
        <v>2355</v>
      </c>
      <c r="B60" s="14" t="s">
        <v>164</v>
      </c>
      <c r="C60" s="406">
        <v>46316</v>
      </c>
      <c r="D60" s="406">
        <v>948610</v>
      </c>
      <c r="E60" s="406">
        <v>171265</v>
      </c>
      <c r="F60" s="406">
        <v>258625</v>
      </c>
      <c r="G60" s="406">
        <v>245292</v>
      </c>
    </row>
    <row r="61" spans="1:7" ht="12.75">
      <c r="A61" s="358">
        <v>2439</v>
      </c>
      <c r="B61" s="12" t="s">
        <v>165</v>
      </c>
      <c r="C61" s="405">
        <v>123094</v>
      </c>
      <c r="D61" s="405">
        <v>182725</v>
      </c>
      <c r="E61" s="405">
        <v>15000</v>
      </c>
      <c r="F61" s="405">
        <v>8300</v>
      </c>
      <c r="G61" s="405">
        <v>10261</v>
      </c>
    </row>
    <row r="62" spans="1:7" ht="12.75">
      <c r="A62" s="359">
        <v>2460</v>
      </c>
      <c r="B62" s="14" t="s">
        <v>166</v>
      </c>
      <c r="C62" s="406">
        <v>1549</v>
      </c>
      <c r="D62" s="406">
        <v>95447</v>
      </c>
      <c r="E62" s="406">
        <v>15000</v>
      </c>
      <c r="F62" s="406">
        <v>4300</v>
      </c>
      <c r="G62" s="406">
        <v>14772</v>
      </c>
    </row>
    <row r="63" spans="1:7" ht="12.75">
      <c r="A63" s="358">
        <v>3000</v>
      </c>
      <c r="B63" s="12" t="s">
        <v>366</v>
      </c>
      <c r="C63" s="405">
        <v>0</v>
      </c>
      <c r="D63" s="405">
        <v>0</v>
      </c>
      <c r="E63" s="405">
        <v>0</v>
      </c>
      <c r="F63" s="405">
        <v>540500</v>
      </c>
      <c r="G63" s="405">
        <v>0</v>
      </c>
    </row>
    <row r="64" spans="3:7" ht="4.5" customHeight="1">
      <c r="C64" s="412"/>
      <c r="D64" s="412"/>
      <c r="E64" s="412"/>
      <c r="F64" s="412"/>
      <c r="G64" s="412"/>
    </row>
    <row r="65" spans="1:7" ht="12.75">
      <c r="A65" s="99"/>
      <c r="B65" s="18" t="s">
        <v>167</v>
      </c>
      <c r="C65" s="407">
        <f>SUM(C11:C63)</f>
        <v>38054141</v>
      </c>
      <c r="D65" s="407">
        <f>SUM(D11:D63)</f>
        <v>57924429</v>
      </c>
      <c r="E65" s="407">
        <f>SUM(E11:E63)</f>
        <v>12208718</v>
      </c>
      <c r="F65" s="407">
        <f>SUM(F11:F63)</f>
        <v>7557550</v>
      </c>
      <c r="G65" s="407">
        <f>SUM(G11:G63)</f>
        <v>5528388</v>
      </c>
    </row>
    <row r="66" spans="3:7" ht="4.5" customHeight="1">
      <c r="C66" s="412"/>
      <c r="D66" s="412"/>
      <c r="E66" s="412"/>
      <c r="F66" s="412"/>
      <c r="G66" s="412"/>
    </row>
    <row r="67" spans="1:7" ht="12.75">
      <c r="A67" s="96">
        <v>2155</v>
      </c>
      <c r="B67" s="97" t="s">
        <v>168</v>
      </c>
      <c r="C67" s="406">
        <v>37516</v>
      </c>
      <c r="D67" s="406">
        <v>49536</v>
      </c>
      <c r="E67" s="406">
        <v>15000</v>
      </c>
      <c r="F67" s="406">
        <v>0</v>
      </c>
      <c r="G67" s="406">
        <v>3206</v>
      </c>
    </row>
    <row r="68" spans="1:7" ht="12.75">
      <c r="A68" s="94">
        <v>2408</v>
      </c>
      <c r="B68" s="95" t="s">
        <v>170</v>
      </c>
      <c r="C68" s="405">
        <v>1293</v>
      </c>
      <c r="D68" s="405">
        <v>62987</v>
      </c>
      <c r="E68" s="405">
        <v>15000</v>
      </c>
      <c r="F68" s="405">
        <v>5000</v>
      </c>
      <c r="G68" s="405">
        <v>2600</v>
      </c>
    </row>
    <row r="69" spans="4:6" ht="6.75" customHeight="1">
      <c r="D69" s="15"/>
      <c r="E69" s="15"/>
      <c r="F69" s="15"/>
    </row>
    <row r="70" spans="1:7" ht="12" customHeight="1">
      <c r="A70" s="380" t="s">
        <v>354</v>
      </c>
      <c r="B70" s="267" t="s">
        <v>388</v>
      </c>
      <c r="C70" s="311"/>
      <c r="D70" s="120"/>
      <c r="E70" s="120"/>
      <c r="F70" s="120"/>
      <c r="G70" s="121"/>
    </row>
    <row r="71" spans="1:7" ht="12" customHeight="1">
      <c r="A71" s="380" t="s">
        <v>355</v>
      </c>
      <c r="B71" s="311" t="s">
        <v>521</v>
      </c>
      <c r="C71" s="267"/>
      <c r="D71" s="120"/>
      <c r="E71" s="120"/>
      <c r="F71" s="120"/>
      <c r="G71" s="131"/>
    </row>
    <row r="72" spans="1:7" ht="12" customHeight="1">
      <c r="A72" s="380" t="s">
        <v>356</v>
      </c>
      <c r="B72" s="267" t="s">
        <v>306</v>
      </c>
      <c r="D72" s="120"/>
      <c r="E72" s="120"/>
      <c r="F72" s="120"/>
      <c r="G72" s="121"/>
    </row>
    <row r="73" spans="1:7" ht="12" customHeight="1">
      <c r="A73" s="380"/>
      <c r="B73" s="267"/>
      <c r="C73" s="267"/>
      <c r="D73" s="120"/>
      <c r="E73" s="120"/>
      <c r="F73" s="120"/>
      <c r="G73" s="121"/>
    </row>
    <row r="74" spans="2:7" ht="12" customHeight="1">
      <c r="B74" s="267"/>
      <c r="C74" s="267"/>
      <c r="D74" s="132"/>
      <c r="E74" s="120"/>
      <c r="F74" s="120"/>
      <c r="G74" s="121"/>
    </row>
    <row r="75" spans="4:6" ht="12" customHeight="1">
      <c r="D75" s="15"/>
      <c r="E75" s="15"/>
      <c r="F75" s="15"/>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H74"/>
  <sheetViews>
    <sheetView showGridLines="0" showZeros="0" workbookViewId="0" topLeftCell="A1">
      <selection activeCell="A1" sqref="A1"/>
    </sheetView>
  </sheetViews>
  <sheetFormatPr defaultColWidth="15.83203125" defaultRowHeight="12"/>
  <cols>
    <col min="1" max="1" width="6.83203125" style="79" customWidth="1"/>
    <col min="2" max="2" width="33.83203125" style="79" customWidth="1"/>
    <col min="3" max="3" width="22.83203125" style="79" customWidth="1"/>
    <col min="4" max="4" width="21.83203125" style="79" customWidth="1"/>
    <col min="5" max="5" width="5.83203125" style="0" customWidth="1"/>
    <col min="6" max="6" width="21.83203125" style="79" customWidth="1"/>
    <col min="7" max="7" width="5.83203125" style="79" customWidth="1"/>
    <col min="8" max="8" width="21.83203125" style="79" customWidth="1"/>
    <col min="9" max="16384" width="15.83203125" style="79" customWidth="1"/>
  </cols>
  <sheetData>
    <row r="1" spans="2:8" ht="6.75" customHeight="1">
      <c r="B1" s="77"/>
      <c r="C1" s="77"/>
      <c r="D1" s="77"/>
      <c r="F1" s="77"/>
      <c r="G1" s="139"/>
      <c r="H1" s="139"/>
    </row>
    <row r="2" spans="1:8" ht="12.75">
      <c r="A2" s="6"/>
      <c r="B2" s="80"/>
      <c r="C2" s="196" t="s">
        <v>6</v>
      </c>
      <c r="D2" s="196"/>
      <c r="E2" s="196"/>
      <c r="F2" s="196"/>
      <c r="G2" s="196"/>
      <c r="H2" s="216" t="s">
        <v>8</v>
      </c>
    </row>
    <row r="3" spans="1:8" ht="12.75">
      <c r="A3" s="7"/>
      <c r="B3" s="83"/>
      <c r="C3" s="199" t="str">
        <f>STATDATE</f>
        <v>ACTUAL SEPTEMBER 30, 2001</v>
      </c>
      <c r="D3" s="199"/>
      <c r="E3" s="199"/>
      <c r="F3" s="199"/>
      <c r="G3" s="199"/>
      <c r="H3" s="212"/>
    </row>
    <row r="4" spans="1:8" ht="10.5" customHeight="1">
      <c r="A4" s="8"/>
      <c r="G4" s="139"/>
      <c r="H4" s="139"/>
    </row>
    <row r="5" spans="1:8" ht="10.5" customHeight="1">
      <c r="A5" s="8"/>
      <c r="C5"/>
      <c r="D5"/>
      <c r="F5"/>
      <c r="G5"/>
      <c r="H5"/>
    </row>
    <row r="6" spans="1:8" ht="10.5" customHeight="1">
      <c r="A6" s="8"/>
      <c r="C6"/>
      <c r="D6"/>
      <c r="F6"/>
      <c r="G6"/>
      <c r="H6"/>
    </row>
    <row r="7" spans="3:8" ht="12.75">
      <c r="C7" s="271" t="s">
        <v>63</v>
      </c>
      <c r="D7" s="273"/>
      <c r="F7" s="371" t="s">
        <v>64</v>
      </c>
      <c r="G7"/>
      <c r="H7" s="371" t="s">
        <v>70</v>
      </c>
    </row>
    <row r="8" spans="1:8" ht="12.75">
      <c r="A8" s="91"/>
      <c r="B8" s="43"/>
      <c r="C8" s="302" t="s">
        <v>352</v>
      </c>
      <c r="D8" s="204"/>
      <c r="F8" s="302" t="s">
        <v>17</v>
      </c>
      <c r="G8" s="368"/>
      <c r="H8" s="204" t="s">
        <v>89</v>
      </c>
    </row>
    <row r="9" spans="1:8" ht="16.5">
      <c r="A9" s="49" t="s">
        <v>101</v>
      </c>
      <c r="B9" s="50" t="s">
        <v>102</v>
      </c>
      <c r="C9" s="72" t="s">
        <v>395</v>
      </c>
      <c r="D9" s="72" t="s">
        <v>70</v>
      </c>
      <c r="F9" s="119" t="s">
        <v>44</v>
      </c>
      <c r="G9" s="369"/>
      <c r="H9" s="72" t="s">
        <v>310</v>
      </c>
    </row>
    <row r="10" spans="1:7" ht="4.5" customHeight="1">
      <c r="A10" s="74"/>
      <c r="B10" s="74"/>
      <c r="C10" s="102"/>
      <c r="D10" s="74"/>
      <c r="G10" s="146"/>
    </row>
    <row r="11" spans="1:8" ht="12.75">
      <c r="A11" s="11">
        <v>1</v>
      </c>
      <c r="B11" s="12" t="s">
        <v>116</v>
      </c>
      <c r="C11" s="339">
        <v>694.6</v>
      </c>
      <c r="D11" s="339">
        <f>SUM('- 6 -'!C11:I11,C11)</f>
        <v>29689.3</v>
      </c>
      <c r="F11" s="339">
        <v>1104</v>
      </c>
      <c r="G11" s="307"/>
      <c r="H11" s="339">
        <f>D11+F11</f>
        <v>30793.3</v>
      </c>
    </row>
    <row r="12" spans="1:8" ht="12.75">
      <c r="A12" s="13">
        <v>2</v>
      </c>
      <c r="B12" s="14" t="s">
        <v>117</v>
      </c>
      <c r="C12" s="340">
        <v>804</v>
      </c>
      <c r="D12" s="340">
        <f>SUM('- 6 -'!C12:I12,C12)</f>
        <v>9041.869999999999</v>
      </c>
      <c r="F12" s="340">
        <v>100</v>
      </c>
      <c r="G12" s="307"/>
      <c r="H12" s="340">
        <f aca="true" t="shared" si="0" ref="H12:H63">D12+F12</f>
        <v>9141.869999999999</v>
      </c>
    </row>
    <row r="13" spans="1:8" ht="12.75">
      <c r="A13" s="11">
        <v>3</v>
      </c>
      <c r="B13" s="12" t="s">
        <v>118</v>
      </c>
      <c r="C13" s="339">
        <v>0</v>
      </c>
      <c r="D13" s="339">
        <f>SUM('- 6 -'!C13:I13,C13)</f>
        <v>5853.5</v>
      </c>
      <c r="F13" s="339">
        <v>0</v>
      </c>
      <c r="G13" s="307"/>
      <c r="H13" s="339">
        <f t="shared" si="0"/>
        <v>5853.5</v>
      </c>
    </row>
    <row r="14" spans="1:8" ht="12.75">
      <c r="A14" s="13">
        <v>4</v>
      </c>
      <c r="B14" s="14" t="s">
        <v>119</v>
      </c>
      <c r="C14" s="340">
        <v>176</v>
      </c>
      <c r="D14" s="340">
        <f>SUM('- 6 -'!C14:I14,C14)</f>
        <v>5815.8</v>
      </c>
      <c r="F14" s="340">
        <v>96</v>
      </c>
      <c r="G14" s="307"/>
      <c r="H14" s="340">
        <f t="shared" si="0"/>
        <v>5911.8</v>
      </c>
    </row>
    <row r="15" spans="1:8" ht="12.75">
      <c r="A15" s="11">
        <v>5</v>
      </c>
      <c r="B15" s="12" t="s">
        <v>120</v>
      </c>
      <c r="C15" s="339">
        <v>0</v>
      </c>
      <c r="D15" s="339">
        <f>SUM('- 6 -'!C15:I15,C15)</f>
        <v>7170.6</v>
      </c>
      <c r="F15" s="339">
        <v>43.1</v>
      </c>
      <c r="G15" s="307"/>
      <c r="H15" s="339">
        <f t="shared" si="0"/>
        <v>7213.700000000001</v>
      </c>
    </row>
    <row r="16" spans="1:8" ht="12.75">
      <c r="A16" s="13">
        <v>6</v>
      </c>
      <c r="B16" s="14" t="s">
        <v>121</v>
      </c>
      <c r="C16" s="340">
        <v>0</v>
      </c>
      <c r="D16" s="340">
        <f>SUM('- 6 -'!C16:I16,C16)</f>
        <v>8709</v>
      </c>
      <c r="F16" s="340">
        <v>75</v>
      </c>
      <c r="G16" s="307"/>
      <c r="H16" s="340">
        <f t="shared" si="0"/>
        <v>8784</v>
      </c>
    </row>
    <row r="17" spans="1:8" ht="12.75">
      <c r="A17" s="11">
        <v>9</v>
      </c>
      <c r="B17" s="12" t="s">
        <v>122</v>
      </c>
      <c r="C17" s="339">
        <v>237.5</v>
      </c>
      <c r="D17" s="339">
        <f>SUM('- 6 -'!C17:I17,C17)</f>
        <v>12373.7</v>
      </c>
      <c r="F17" s="339">
        <v>163</v>
      </c>
      <c r="G17" s="307"/>
      <c r="H17" s="339">
        <f t="shared" si="0"/>
        <v>12536.7</v>
      </c>
    </row>
    <row r="18" spans="1:8" ht="12.75">
      <c r="A18" s="13">
        <v>10</v>
      </c>
      <c r="B18" s="14" t="s">
        <v>123</v>
      </c>
      <c r="C18" s="340">
        <v>121</v>
      </c>
      <c r="D18" s="340">
        <f>SUM('- 6 -'!C18:I18,C18)</f>
        <v>8528.5</v>
      </c>
      <c r="F18" s="340">
        <v>38</v>
      </c>
      <c r="G18" s="307"/>
      <c r="H18" s="340">
        <f t="shared" si="0"/>
        <v>8566.5</v>
      </c>
    </row>
    <row r="19" spans="1:8" ht="12.75">
      <c r="A19" s="11">
        <v>11</v>
      </c>
      <c r="B19" s="12" t="s">
        <v>124</v>
      </c>
      <c r="C19" s="339">
        <v>266</v>
      </c>
      <c r="D19" s="339">
        <f>SUM('- 6 -'!C19:I19,C19)</f>
        <v>4697.5</v>
      </c>
      <c r="F19" s="339">
        <v>18</v>
      </c>
      <c r="G19" s="307"/>
      <c r="H19" s="339">
        <f t="shared" si="0"/>
        <v>4715.5</v>
      </c>
    </row>
    <row r="20" spans="1:8" ht="12.75">
      <c r="A20" s="13">
        <v>12</v>
      </c>
      <c r="B20" s="14" t="s">
        <v>125</v>
      </c>
      <c r="C20" s="340">
        <v>66.7</v>
      </c>
      <c r="D20" s="340">
        <f>SUM('- 6 -'!C20:I20,C20)</f>
        <v>7690</v>
      </c>
      <c r="F20" s="340">
        <v>29</v>
      </c>
      <c r="G20" s="307"/>
      <c r="H20" s="340">
        <f t="shared" si="0"/>
        <v>7719</v>
      </c>
    </row>
    <row r="21" spans="1:8" ht="12.75">
      <c r="A21" s="11">
        <v>13</v>
      </c>
      <c r="B21" s="12" t="s">
        <v>126</v>
      </c>
      <c r="C21" s="339">
        <v>0</v>
      </c>
      <c r="D21" s="339">
        <f>SUM('- 6 -'!C21:I21,C21)</f>
        <v>2657.7999999999997</v>
      </c>
      <c r="F21" s="339">
        <v>16.4</v>
      </c>
      <c r="G21" s="307"/>
      <c r="H21" s="339">
        <f t="shared" si="0"/>
        <v>2674.2</v>
      </c>
    </row>
    <row r="22" spans="1:8" ht="12.75">
      <c r="A22" s="13">
        <v>14</v>
      </c>
      <c r="B22" s="14" t="s">
        <v>127</v>
      </c>
      <c r="C22" s="340">
        <v>0</v>
      </c>
      <c r="D22" s="340">
        <f>SUM('- 6 -'!C22:I22,C22)</f>
        <v>3515.5</v>
      </c>
      <c r="F22" s="340">
        <v>0</v>
      </c>
      <c r="G22" s="307"/>
      <c r="H22" s="340">
        <f t="shared" si="0"/>
        <v>3515.5</v>
      </c>
    </row>
    <row r="23" spans="1:8" ht="12.75">
      <c r="A23" s="11">
        <v>15</v>
      </c>
      <c r="B23" s="12" t="s">
        <v>128</v>
      </c>
      <c r="C23" s="339">
        <v>254.4</v>
      </c>
      <c r="D23" s="339">
        <f>SUM('- 6 -'!C23:I23,C23)</f>
        <v>5988</v>
      </c>
      <c r="F23" s="339">
        <v>6</v>
      </c>
      <c r="G23" s="307"/>
      <c r="H23" s="339">
        <f t="shared" si="0"/>
        <v>5994</v>
      </c>
    </row>
    <row r="24" spans="1:8" ht="12.75">
      <c r="A24" s="13">
        <v>16</v>
      </c>
      <c r="B24" s="14" t="s">
        <v>129</v>
      </c>
      <c r="C24" s="340">
        <v>41.8</v>
      </c>
      <c r="D24" s="340">
        <f>SUM('- 6 -'!C24:I24,C24)</f>
        <v>840.8</v>
      </c>
      <c r="F24" s="340">
        <v>0</v>
      </c>
      <c r="G24" s="307"/>
      <c r="H24" s="340">
        <f t="shared" si="0"/>
        <v>840.8</v>
      </c>
    </row>
    <row r="25" spans="1:8" ht="12.75">
      <c r="A25" s="11">
        <v>17</v>
      </c>
      <c r="B25" s="12" t="s">
        <v>130</v>
      </c>
      <c r="C25" s="339">
        <v>15</v>
      </c>
      <c r="D25" s="339">
        <f>SUM('- 6 -'!C25:I25,C25)</f>
        <v>481</v>
      </c>
      <c r="F25" s="339">
        <v>7</v>
      </c>
      <c r="G25" s="307"/>
      <c r="H25" s="339">
        <f t="shared" si="0"/>
        <v>488</v>
      </c>
    </row>
    <row r="26" spans="1:8" ht="12.75">
      <c r="A26" s="13">
        <v>18</v>
      </c>
      <c r="B26" s="14" t="s">
        <v>131</v>
      </c>
      <c r="C26" s="340">
        <v>81</v>
      </c>
      <c r="D26" s="340">
        <f>SUM('- 6 -'!C26:I26,C26)</f>
        <v>1470.5</v>
      </c>
      <c r="F26" s="340">
        <v>0</v>
      </c>
      <c r="G26" s="307"/>
      <c r="H26" s="340">
        <f t="shared" si="0"/>
        <v>1470.5</v>
      </c>
    </row>
    <row r="27" spans="1:8" ht="12.75">
      <c r="A27" s="11">
        <v>19</v>
      </c>
      <c r="B27" s="12" t="s">
        <v>132</v>
      </c>
      <c r="C27" s="339">
        <v>18</v>
      </c>
      <c r="D27" s="339">
        <f>SUM('- 6 -'!C27:I27,C27)</f>
        <v>1858.5</v>
      </c>
      <c r="F27" s="339">
        <v>0</v>
      </c>
      <c r="G27" s="307"/>
      <c r="H27" s="339">
        <f t="shared" si="0"/>
        <v>1858.5</v>
      </c>
    </row>
    <row r="28" spans="1:8" ht="12.75">
      <c r="A28" s="13">
        <v>20</v>
      </c>
      <c r="B28" s="14" t="s">
        <v>133</v>
      </c>
      <c r="C28" s="340">
        <v>0</v>
      </c>
      <c r="D28" s="340">
        <f>SUM('- 6 -'!C28:I28,C28)</f>
        <v>945.5</v>
      </c>
      <c r="F28" s="340">
        <v>9</v>
      </c>
      <c r="G28" s="307"/>
      <c r="H28" s="340">
        <f t="shared" si="0"/>
        <v>954.5</v>
      </c>
    </row>
    <row r="29" spans="1:8" ht="12.75">
      <c r="A29" s="11">
        <v>21</v>
      </c>
      <c r="B29" s="12" t="s">
        <v>134</v>
      </c>
      <c r="C29" s="339">
        <v>0</v>
      </c>
      <c r="D29" s="339">
        <f>SUM('- 6 -'!C29:I29,C29)</f>
        <v>3411.5</v>
      </c>
      <c r="F29" s="339">
        <v>20</v>
      </c>
      <c r="G29" s="307"/>
      <c r="H29" s="339">
        <f t="shared" si="0"/>
        <v>3431.5</v>
      </c>
    </row>
    <row r="30" spans="1:8" ht="12.75">
      <c r="A30" s="13">
        <v>22</v>
      </c>
      <c r="B30" s="14" t="s">
        <v>135</v>
      </c>
      <c r="C30" s="340">
        <v>20</v>
      </c>
      <c r="D30" s="340">
        <f>SUM('- 6 -'!C30:I30,C30)</f>
        <v>1765.5</v>
      </c>
      <c r="F30" s="340">
        <v>0</v>
      </c>
      <c r="G30" s="307"/>
      <c r="H30" s="340">
        <f t="shared" si="0"/>
        <v>1765.5</v>
      </c>
    </row>
    <row r="31" spans="1:8" ht="12.75">
      <c r="A31" s="11">
        <v>23</v>
      </c>
      <c r="B31" s="12" t="s">
        <v>136</v>
      </c>
      <c r="C31" s="339">
        <v>37</v>
      </c>
      <c r="D31" s="339">
        <f>SUM('- 6 -'!C31:I31,C31)</f>
        <v>1438</v>
      </c>
      <c r="F31" s="339">
        <v>0</v>
      </c>
      <c r="G31" s="307"/>
      <c r="H31" s="339">
        <f t="shared" si="0"/>
        <v>1438</v>
      </c>
    </row>
    <row r="32" spans="1:8" ht="12.75">
      <c r="A32" s="13">
        <v>24</v>
      </c>
      <c r="B32" s="14" t="s">
        <v>137</v>
      </c>
      <c r="C32" s="340">
        <v>48.4</v>
      </c>
      <c r="D32" s="340">
        <f>SUM('- 6 -'!C32:I32,C32)</f>
        <v>3487.5</v>
      </c>
      <c r="F32" s="340">
        <v>85.5</v>
      </c>
      <c r="G32" s="307"/>
      <c r="H32" s="340">
        <f t="shared" si="0"/>
        <v>3573</v>
      </c>
    </row>
    <row r="33" spans="1:8" ht="12.75">
      <c r="A33" s="11">
        <v>25</v>
      </c>
      <c r="B33" s="12" t="s">
        <v>138</v>
      </c>
      <c r="C33" s="339">
        <v>0</v>
      </c>
      <c r="D33" s="339">
        <f>SUM('- 6 -'!C33:I33,C33)</f>
        <v>1459.1</v>
      </c>
      <c r="F33" s="339">
        <v>0</v>
      </c>
      <c r="G33" s="307"/>
      <c r="H33" s="339">
        <f t="shared" si="0"/>
        <v>1459.1</v>
      </c>
    </row>
    <row r="34" spans="1:8" ht="12.75">
      <c r="A34" s="13">
        <v>26</v>
      </c>
      <c r="B34" s="14" t="s">
        <v>139</v>
      </c>
      <c r="C34" s="340">
        <v>47</v>
      </c>
      <c r="D34" s="340">
        <f>SUM('- 6 -'!C34:I34,C34)</f>
        <v>2785.2</v>
      </c>
      <c r="F34" s="340">
        <v>57.9</v>
      </c>
      <c r="G34" s="307"/>
      <c r="H34" s="340">
        <f t="shared" si="0"/>
        <v>2843.1</v>
      </c>
    </row>
    <row r="35" spans="1:8" ht="12.75">
      <c r="A35" s="11">
        <v>28</v>
      </c>
      <c r="B35" s="12" t="s">
        <v>140</v>
      </c>
      <c r="C35" s="339">
        <v>0</v>
      </c>
      <c r="D35" s="339">
        <f>SUM('- 6 -'!C35:I35,C35)</f>
        <v>881.3199999999999</v>
      </c>
      <c r="F35" s="339">
        <v>0</v>
      </c>
      <c r="G35" s="307"/>
      <c r="H35" s="339">
        <f t="shared" si="0"/>
        <v>881.3199999999999</v>
      </c>
    </row>
    <row r="36" spans="1:8" ht="12.75">
      <c r="A36" s="13">
        <v>30</v>
      </c>
      <c r="B36" s="14" t="s">
        <v>141</v>
      </c>
      <c r="C36" s="340">
        <v>0</v>
      </c>
      <c r="D36" s="340">
        <f>SUM('- 6 -'!C36:I36,C36)</f>
        <v>1301.7</v>
      </c>
      <c r="F36" s="340">
        <v>0</v>
      </c>
      <c r="G36" s="307"/>
      <c r="H36" s="340">
        <f t="shared" si="0"/>
        <v>1301.7</v>
      </c>
    </row>
    <row r="37" spans="1:8" ht="12.75">
      <c r="A37" s="11">
        <v>31</v>
      </c>
      <c r="B37" s="12" t="s">
        <v>142</v>
      </c>
      <c r="C37" s="339">
        <v>0</v>
      </c>
      <c r="D37" s="339">
        <f>SUM('- 6 -'!C37:I37,C37)</f>
        <v>1607</v>
      </c>
      <c r="F37" s="339">
        <v>44</v>
      </c>
      <c r="G37" s="307"/>
      <c r="H37" s="339">
        <f t="shared" si="0"/>
        <v>1651</v>
      </c>
    </row>
    <row r="38" spans="1:8" ht="12.75">
      <c r="A38" s="13">
        <v>32</v>
      </c>
      <c r="B38" s="14" t="s">
        <v>143</v>
      </c>
      <c r="C38" s="340">
        <v>0</v>
      </c>
      <c r="D38" s="340">
        <f>SUM('- 6 -'!C38:I38,C38)</f>
        <v>829</v>
      </c>
      <c r="F38" s="340">
        <v>0</v>
      </c>
      <c r="G38" s="307"/>
      <c r="H38" s="340">
        <f t="shared" si="0"/>
        <v>829</v>
      </c>
    </row>
    <row r="39" spans="1:8" ht="12.75">
      <c r="A39" s="11">
        <v>33</v>
      </c>
      <c r="B39" s="12" t="s">
        <v>144</v>
      </c>
      <c r="C39" s="339">
        <v>134.5</v>
      </c>
      <c r="D39" s="339">
        <f>SUM('- 6 -'!C39:I39,C39)</f>
        <v>1887</v>
      </c>
      <c r="F39" s="339">
        <v>16</v>
      </c>
      <c r="G39" s="307"/>
      <c r="H39" s="339">
        <f t="shared" si="0"/>
        <v>1903</v>
      </c>
    </row>
    <row r="40" spans="1:8" ht="12.75">
      <c r="A40" s="13">
        <v>34</v>
      </c>
      <c r="B40" s="14" t="s">
        <v>145</v>
      </c>
      <c r="C40" s="340">
        <v>0</v>
      </c>
      <c r="D40" s="340">
        <f>SUM('- 6 -'!C40:I40,C40)</f>
        <v>733</v>
      </c>
      <c r="F40" s="340">
        <v>0</v>
      </c>
      <c r="G40" s="307"/>
      <c r="H40" s="340">
        <f t="shared" si="0"/>
        <v>733</v>
      </c>
    </row>
    <row r="41" spans="1:8" ht="12.75">
      <c r="A41" s="11">
        <v>35</v>
      </c>
      <c r="B41" s="12" t="s">
        <v>146</v>
      </c>
      <c r="C41" s="339">
        <v>149.4</v>
      </c>
      <c r="D41" s="339">
        <f>SUM('- 6 -'!C41:I41,C41)</f>
        <v>1923.8000000000002</v>
      </c>
      <c r="F41" s="339">
        <v>0</v>
      </c>
      <c r="G41" s="307"/>
      <c r="H41" s="339">
        <f t="shared" si="0"/>
        <v>1923.8000000000002</v>
      </c>
    </row>
    <row r="42" spans="1:8" ht="12.75">
      <c r="A42" s="13">
        <v>36</v>
      </c>
      <c r="B42" s="14" t="s">
        <v>147</v>
      </c>
      <c r="C42" s="340">
        <v>0</v>
      </c>
      <c r="D42" s="340">
        <f>SUM('- 6 -'!C42:I42,C42)</f>
        <v>1008.5</v>
      </c>
      <c r="F42" s="340">
        <v>0</v>
      </c>
      <c r="G42" s="307"/>
      <c r="H42" s="340">
        <f t="shared" si="0"/>
        <v>1008.5</v>
      </c>
    </row>
    <row r="43" spans="1:8" ht="12.75">
      <c r="A43" s="11">
        <v>37</v>
      </c>
      <c r="B43" s="12" t="s">
        <v>148</v>
      </c>
      <c r="C43" s="339">
        <v>52</v>
      </c>
      <c r="D43" s="339">
        <f>SUM('- 6 -'!C43:I43,C43)</f>
        <v>963</v>
      </c>
      <c r="F43" s="339">
        <v>0</v>
      </c>
      <c r="G43" s="307"/>
      <c r="H43" s="339">
        <f t="shared" si="0"/>
        <v>963</v>
      </c>
    </row>
    <row r="44" spans="1:8" ht="12.75">
      <c r="A44" s="13">
        <v>38</v>
      </c>
      <c r="B44" s="14" t="s">
        <v>149</v>
      </c>
      <c r="C44" s="340">
        <v>0</v>
      </c>
      <c r="D44" s="340">
        <f>SUM('- 6 -'!C44:I44,C44)</f>
        <v>1168</v>
      </c>
      <c r="F44" s="340">
        <v>0</v>
      </c>
      <c r="G44" s="307"/>
      <c r="H44" s="340">
        <f t="shared" si="0"/>
        <v>1168</v>
      </c>
    </row>
    <row r="45" spans="1:8" ht="12.75">
      <c r="A45" s="11">
        <v>39</v>
      </c>
      <c r="B45" s="12" t="s">
        <v>150</v>
      </c>
      <c r="C45" s="339">
        <v>19</v>
      </c>
      <c r="D45" s="339">
        <f>SUM('- 6 -'!C45:I45,C45)</f>
        <v>2120</v>
      </c>
      <c r="F45" s="339">
        <v>0</v>
      </c>
      <c r="G45" s="307"/>
      <c r="H45" s="339">
        <f t="shared" si="0"/>
        <v>2120</v>
      </c>
    </row>
    <row r="46" spans="1:8" ht="12.75">
      <c r="A46" s="13">
        <v>40</v>
      </c>
      <c r="B46" s="14" t="s">
        <v>151</v>
      </c>
      <c r="C46" s="340">
        <v>356.6</v>
      </c>
      <c r="D46" s="340">
        <f>SUM('- 6 -'!C46:I46,C46)</f>
        <v>7193</v>
      </c>
      <c r="F46" s="340">
        <v>208</v>
      </c>
      <c r="G46" s="307"/>
      <c r="H46" s="340">
        <f t="shared" si="0"/>
        <v>7401</v>
      </c>
    </row>
    <row r="47" spans="1:8" ht="12.75">
      <c r="A47" s="11">
        <v>41</v>
      </c>
      <c r="B47" s="12" t="s">
        <v>152</v>
      </c>
      <c r="C47" s="339">
        <v>30</v>
      </c>
      <c r="D47" s="339">
        <f>SUM('- 6 -'!C47:I47,C47)</f>
        <v>1655.7</v>
      </c>
      <c r="F47" s="339">
        <v>0</v>
      </c>
      <c r="G47" s="307"/>
      <c r="H47" s="339">
        <f t="shared" si="0"/>
        <v>1655.7</v>
      </c>
    </row>
    <row r="48" spans="1:8" ht="12.75">
      <c r="A48" s="13">
        <v>42</v>
      </c>
      <c r="B48" s="14" t="s">
        <v>153</v>
      </c>
      <c r="C48" s="340">
        <v>0</v>
      </c>
      <c r="D48" s="340">
        <f>SUM('- 6 -'!C48:I48,C48)</f>
        <v>1057</v>
      </c>
      <c r="F48" s="340">
        <v>0</v>
      </c>
      <c r="G48" s="307"/>
      <c r="H48" s="340">
        <f t="shared" si="0"/>
        <v>1057</v>
      </c>
    </row>
    <row r="49" spans="1:8" ht="12.75">
      <c r="A49" s="11">
        <v>43</v>
      </c>
      <c r="B49" s="12" t="s">
        <v>154</v>
      </c>
      <c r="C49" s="339">
        <v>0</v>
      </c>
      <c r="D49" s="339">
        <f>SUM('- 6 -'!C49:I49,C49)</f>
        <v>778.5</v>
      </c>
      <c r="F49" s="339">
        <v>0</v>
      </c>
      <c r="G49" s="307"/>
      <c r="H49" s="339">
        <f t="shared" si="0"/>
        <v>778.5</v>
      </c>
    </row>
    <row r="50" spans="1:8" ht="12.75">
      <c r="A50" s="13">
        <v>44</v>
      </c>
      <c r="B50" s="14" t="s">
        <v>155</v>
      </c>
      <c r="C50" s="340">
        <v>0</v>
      </c>
      <c r="D50" s="340">
        <f>SUM('- 6 -'!C50:I50,C50)</f>
        <v>1243.5</v>
      </c>
      <c r="F50" s="340">
        <v>0</v>
      </c>
      <c r="G50" s="307"/>
      <c r="H50" s="340">
        <f t="shared" si="0"/>
        <v>1243.5</v>
      </c>
    </row>
    <row r="51" spans="1:8" ht="12.75">
      <c r="A51" s="11">
        <v>45</v>
      </c>
      <c r="B51" s="12" t="s">
        <v>156</v>
      </c>
      <c r="C51" s="339">
        <v>0</v>
      </c>
      <c r="D51" s="339">
        <f>SUM('- 6 -'!C51:I51,C51)</f>
        <v>1847.1</v>
      </c>
      <c r="F51" s="339">
        <v>37</v>
      </c>
      <c r="G51" s="307"/>
      <c r="H51" s="339">
        <f t="shared" si="0"/>
        <v>1884.1</v>
      </c>
    </row>
    <row r="52" spans="1:8" ht="12.75">
      <c r="A52" s="13">
        <v>46</v>
      </c>
      <c r="B52" s="14" t="s">
        <v>157</v>
      </c>
      <c r="C52" s="340">
        <v>11</v>
      </c>
      <c r="D52" s="340">
        <f>SUM('- 6 -'!C52:I52,C52)</f>
        <v>1424.4</v>
      </c>
      <c r="F52" s="340">
        <v>13</v>
      </c>
      <c r="G52" s="307"/>
      <c r="H52" s="340">
        <f t="shared" si="0"/>
        <v>1437.4</v>
      </c>
    </row>
    <row r="53" spans="1:8" ht="12.75">
      <c r="A53" s="11">
        <v>47</v>
      </c>
      <c r="B53" s="12" t="s">
        <v>158</v>
      </c>
      <c r="C53" s="339">
        <v>0</v>
      </c>
      <c r="D53" s="339">
        <f>SUM('- 6 -'!C53:I53,C53)</f>
        <v>1435.5</v>
      </c>
      <c r="F53" s="339">
        <v>11</v>
      </c>
      <c r="G53" s="307"/>
      <c r="H53" s="339">
        <f t="shared" si="0"/>
        <v>1446.5</v>
      </c>
    </row>
    <row r="54" spans="1:8" ht="12.75">
      <c r="A54" s="13">
        <v>48</v>
      </c>
      <c r="B54" s="14" t="s">
        <v>159</v>
      </c>
      <c r="C54" s="340">
        <v>19.9</v>
      </c>
      <c r="D54" s="340">
        <f>SUM('- 6 -'!C54:I54,C54)</f>
        <v>5227.7</v>
      </c>
      <c r="F54" s="340">
        <v>0</v>
      </c>
      <c r="G54" s="307"/>
      <c r="H54" s="340">
        <f t="shared" si="0"/>
        <v>5227.7</v>
      </c>
    </row>
    <row r="55" spans="1:8" ht="12.75">
      <c r="A55" s="11">
        <v>49</v>
      </c>
      <c r="B55" s="12" t="s">
        <v>160</v>
      </c>
      <c r="C55" s="339">
        <v>0</v>
      </c>
      <c r="D55" s="339">
        <f>SUM('- 6 -'!C55:I55,C55)</f>
        <v>4215.2</v>
      </c>
      <c r="F55" s="339">
        <v>45.6</v>
      </c>
      <c r="G55" s="307"/>
      <c r="H55" s="339">
        <f t="shared" si="0"/>
        <v>4260.8</v>
      </c>
    </row>
    <row r="56" spans="1:8" ht="12.75">
      <c r="A56" s="13">
        <v>50</v>
      </c>
      <c r="B56" s="14" t="s">
        <v>343</v>
      </c>
      <c r="C56" s="340">
        <v>0</v>
      </c>
      <c r="D56" s="340">
        <f>SUM('- 6 -'!C56:I56,C56)</f>
        <v>1762.3</v>
      </c>
      <c r="F56" s="340">
        <v>0</v>
      </c>
      <c r="G56" s="307"/>
      <c r="H56" s="340">
        <f t="shared" si="0"/>
        <v>1762.3</v>
      </c>
    </row>
    <row r="57" spans="1:8" ht="12.75">
      <c r="A57" s="11">
        <v>2264</v>
      </c>
      <c r="B57" s="12" t="s">
        <v>161</v>
      </c>
      <c r="C57" s="339">
        <v>0</v>
      </c>
      <c r="D57" s="339">
        <f>SUM('- 6 -'!C57:I57,C57)</f>
        <v>196.5</v>
      </c>
      <c r="F57" s="339">
        <v>0</v>
      </c>
      <c r="G57" s="307"/>
      <c r="H57" s="339">
        <f t="shared" si="0"/>
        <v>196.5</v>
      </c>
    </row>
    <row r="58" spans="1:8" ht="12.75">
      <c r="A58" s="13">
        <v>2309</v>
      </c>
      <c r="B58" s="14" t="s">
        <v>162</v>
      </c>
      <c r="C58" s="340">
        <v>0</v>
      </c>
      <c r="D58" s="340">
        <f>SUM('- 6 -'!C58:I58,C58)</f>
        <v>260.7</v>
      </c>
      <c r="F58" s="340">
        <v>0</v>
      </c>
      <c r="G58" s="307"/>
      <c r="H58" s="340">
        <f t="shared" si="0"/>
        <v>260.7</v>
      </c>
    </row>
    <row r="59" spans="1:8" ht="12.75">
      <c r="A59" s="11">
        <v>2312</v>
      </c>
      <c r="B59" s="12" t="s">
        <v>163</v>
      </c>
      <c r="C59" s="339">
        <v>0</v>
      </c>
      <c r="D59" s="339">
        <f>SUM('- 6 -'!C59:I59,C59)</f>
        <v>174</v>
      </c>
      <c r="F59" s="339">
        <v>0</v>
      </c>
      <c r="G59" s="307"/>
      <c r="H59" s="339">
        <f t="shared" si="0"/>
        <v>174</v>
      </c>
    </row>
    <row r="60" spans="1:8" ht="12.75">
      <c r="A60" s="13">
        <v>2355</v>
      </c>
      <c r="B60" s="14" t="s">
        <v>164</v>
      </c>
      <c r="C60" s="340">
        <v>179.3</v>
      </c>
      <c r="D60" s="340">
        <f>SUM('- 6 -'!C60:I60,C60)</f>
        <v>3250.3</v>
      </c>
      <c r="F60" s="340">
        <v>71</v>
      </c>
      <c r="G60" s="307"/>
      <c r="H60" s="340">
        <f t="shared" si="0"/>
        <v>3321.3</v>
      </c>
    </row>
    <row r="61" spans="1:8" ht="12.75">
      <c r="A61" s="11">
        <v>2439</v>
      </c>
      <c r="B61" s="12" t="s">
        <v>165</v>
      </c>
      <c r="C61" s="339">
        <v>0</v>
      </c>
      <c r="D61" s="339">
        <f>SUM('- 6 -'!C61:I61,C61)</f>
        <v>150.5</v>
      </c>
      <c r="F61" s="339">
        <v>6</v>
      </c>
      <c r="G61" s="307"/>
      <c r="H61" s="339">
        <f t="shared" si="0"/>
        <v>156.5</v>
      </c>
    </row>
    <row r="62" spans="1:8" ht="12.75">
      <c r="A62" s="13">
        <v>2460</v>
      </c>
      <c r="B62" s="14" t="s">
        <v>166</v>
      </c>
      <c r="C62" s="340">
        <v>0</v>
      </c>
      <c r="D62" s="340">
        <f>SUM('- 6 -'!C62:I62,C62)</f>
        <v>272.2</v>
      </c>
      <c r="F62" s="340">
        <v>0</v>
      </c>
      <c r="G62" s="307"/>
      <c r="H62" s="340">
        <f t="shared" si="0"/>
        <v>272.2</v>
      </c>
    </row>
    <row r="63" spans="1:8" ht="12.75">
      <c r="A63" s="11">
        <v>3000</v>
      </c>
      <c r="B63" s="12" t="s">
        <v>366</v>
      </c>
      <c r="C63" s="339">
        <v>635.5</v>
      </c>
      <c r="D63" s="339">
        <f>SUM('- 6 -'!C63:I63,C63)</f>
        <v>671.4</v>
      </c>
      <c r="F63" s="339">
        <v>0</v>
      </c>
      <c r="G63" s="307"/>
      <c r="H63" s="339">
        <f t="shared" si="0"/>
        <v>671.4</v>
      </c>
    </row>
    <row r="64" spans="1:8" ht="4.5" customHeight="1">
      <c r="A64" s="15"/>
      <c r="B64" s="15"/>
      <c r="C64" s="341"/>
      <c r="D64" s="341"/>
      <c r="F64" s="341"/>
      <c r="G64" s="308"/>
      <c r="H64" s="341"/>
    </row>
    <row r="65" spans="1:8" ht="12.75">
      <c r="A65" s="17"/>
      <c r="B65" s="18" t="s">
        <v>167</v>
      </c>
      <c r="C65" s="342">
        <f>SUM(C11:C63)</f>
        <v>4515.6</v>
      </c>
      <c r="D65" s="342">
        <f>SUM(D11:D63)</f>
        <v>178911.99000000005</v>
      </c>
      <c r="F65" s="342">
        <f>SUM(F11:F63)</f>
        <v>2319.5</v>
      </c>
      <c r="G65" s="309"/>
      <c r="H65" s="342">
        <f>SUM(H11:H63)</f>
        <v>181231.49000000002</v>
      </c>
    </row>
    <row r="66" spans="1:8" ht="4.5" customHeight="1">
      <c r="A66" s="15"/>
      <c r="B66" s="15"/>
      <c r="C66" s="341"/>
      <c r="D66" s="341"/>
      <c r="F66" s="341"/>
      <c r="G66" s="146"/>
      <c r="H66" s="341"/>
    </row>
    <row r="67" spans="1:8" ht="12.75">
      <c r="A67" s="13">
        <v>2155</v>
      </c>
      <c r="B67" s="14" t="s">
        <v>168</v>
      </c>
      <c r="C67" s="340">
        <v>0</v>
      </c>
      <c r="D67" s="340">
        <f>SUM('- 6 -'!C67:I67,C67)</f>
        <v>146</v>
      </c>
      <c r="F67" s="340">
        <v>0</v>
      </c>
      <c r="G67" s="307"/>
      <c r="H67" s="340">
        <f>D67+F67</f>
        <v>146</v>
      </c>
    </row>
    <row r="68" spans="1:8" ht="12.75">
      <c r="A68" s="11">
        <v>2408</v>
      </c>
      <c r="B68" s="12" t="s">
        <v>170</v>
      </c>
      <c r="C68" s="339">
        <v>0</v>
      </c>
      <c r="D68" s="339">
        <f>SUM('- 6 -'!C68:I68,C68)</f>
        <v>258</v>
      </c>
      <c r="F68" s="339">
        <v>0</v>
      </c>
      <c r="G68" s="307"/>
      <c r="H68" s="339">
        <f>D68+F68</f>
        <v>258</v>
      </c>
    </row>
    <row r="69" ht="6.75" customHeight="1">
      <c r="G69" s="146"/>
    </row>
    <row r="70" spans="1:8" ht="12" customHeight="1">
      <c r="A70" s="380" t="s">
        <v>354</v>
      </c>
      <c r="B70" s="53" t="s">
        <v>394</v>
      </c>
      <c r="C70" s="4"/>
      <c r="D70" s="4"/>
      <c r="G70" s="310"/>
      <c r="H70" s="15"/>
    </row>
    <row r="71" spans="1:8" ht="12" customHeight="1">
      <c r="A71"/>
      <c r="B71"/>
      <c r="C71" s="4"/>
      <c r="D71" s="4"/>
      <c r="G71" s="310"/>
      <c r="H71" s="15"/>
    </row>
    <row r="72" spans="1:8" ht="12" customHeight="1">
      <c r="A72" s="4"/>
      <c r="B72" s="4"/>
      <c r="C72" s="4"/>
      <c r="D72" s="4"/>
      <c r="G72" s="310"/>
      <c r="H72" s="15"/>
    </row>
    <row r="73" spans="1:8" ht="12" customHeight="1">
      <c r="A73" s="4"/>
      <c r="B73" s="4"/>
      <c r="C73" s="4"/>
      <c r="D73" s="4"/>
      <c r="G73" s="310"/>
      <c r="H73" s="15"/>
    </row>
    <row r="74" spans="1:8" ht="12" customHeight="1">
      <c r="A74" s="4"/>
      <c r="B74" s="4"/>
      <c r="C74" s="4"/>
      <c r="D74" s="4"/>
      <c r="G74" s="310"/>
      <c r="H74" s="15"/>
    </row>
  </sheetData>
  <printOptions horizontalCentered="1"/>
  <pageMargins left="0.5" right="0.5" top="0.6" bottom="0" header="0.3" footer="0"/>
  <pageSetup fitToHeight="1" fitToWidth="1" horizontalDpi="300" verticalDpi="300" orientation="portrait" scale="83"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46">
    <pageSetUpPr fitToPage="1"/>
  </sheetPr>
  <dimension ref="A1:G75"/>
  <sheetViews>
    <sheetView showGridLines="0" showZeros="0" workbookViewId="0" topLeftCell="A1">
      <selection activeCell="A1" sqref="A1"/>
    </sheetView>
  </sheetViews>
  <sheetFormatPr defaultColWidth="19.83203125" defaultRowHeight="12"/>
  <cols>
    <col min="1" max="1" width="6.83203125" style="79" customWidth="1"/>
    <col min="2" max="2" width="35.83203125" style="79" customWidth="1"/>
    <col min="3" max="5" width="18.83203125" style="79" customWidth="1"/>
    <col min="6" max="6" width="20.83203125" style="79" customWidth="1"/>
    <col min="7" max="7" width="18.83203125" style="79" customWidth="1"/>
    <col min="8" max="16384" width="19.83203125" style="79" customWidth="1"/>
  </cols>
  <sheetData>
    <row r="1" spans="1:7" ht="6.75" customHeight="1">
      <c r="A1" s="15"/>
      <c r="B1" s="77"/>
      <c r="C1" s="77"/>
      <c r="D1" s="77"/>
      <c r="E1" s="77"/>
      <c r="F1" s="77"/>
      <c r="G1" s="77"/>
    </row>
    <row r="2" spans="1:7" ht="12.75">
      <c r="A2" s="9"/>
      <c r="B2" s="103"/>
      <c r="C2" s="104" t="str">
        <f>REVYEAR</f>
        <v>ANALYSIS OF OPERATING FUND REVENUE: 2001/2002 ACTUAL</v>
      </c>
      <c r="D2" s="104"/>
      <c r="E2" s="104"/>
      <c r="F2" s="104"/>
      <c r="G2" s="105" t="s">
        <v>378</v>
      </c>
    </row>
    <row r="3" spans="1:7" ht="12.75">
      <c r="A3" s="10"/>
      <c r="B3" s="106"/>
      <c r="C3" s="77"/>
      <c r="D3" s="77"/>
      <c r="E3" s="77"/>
      <c r="F3" s="77"/>
      <c r="G3" s="77"/>
    </row>
    <row r="4" spans="1:7" ht="12.75">
      <c r="A4" s="8"/>
      <c r="C4" s="108" t="s">
        <v>519</v>
      </c>
      <c r="D4" s="383"/>
      <c r="E4" s="383"/>
      <c r="F4" s="109"/>
      <c r="G4" s="110"/>
    </row>
    <row r="5" spans="1:7" ht="12.75">
      <c r="A5" s="8"/>
      <c r="C5" s="111" t="s">
        <v>516</v>
      </c>
      <c r="D5" s="384"/>
      <c r="E5" s="384"/>
      <c r="F5" s="112"/>
      <c r="G5" s="113"/>
    </row>
    <row r="6" spans="1:7" ht="12.75">
      <c r="A6" s="8"/>
      <c r="C6" s="122" t="s">
        <v>177</v>
      </c>
      <c r="D6" s="123"/>
      <c r="E6" s="123"/>
      <c r="F6" s="130"/>
      <c r="G6" s="130"/>
    </row>
    <row r="7" spans="1:7" ht="12.75">
      <c r="A7" s="15"/>
      <c r="C7" s="114" t="s">
        <v>88</v>
      </c>
      <c r="D7" s="114" t="s">
        <v>372</v>
      </c>
      <c r="E7" s="114" t="s">
        <v>372</v>
      </c>
      <c r="F7" s="43"/>
      <c r="G7" s="114" t="s">
        <v>70</v>
      </c>
    </row>
    <row r="8" spans="1:7" ht="12.75">
      <c r="A8" s="91"/>
      <c r="B8" s="43"/>
      <c r="C8" s="117" t="s">
        <v>106</v>
      </c>
      <c r="D8" s="117" t="s">
        <v>373</v>
      </c>
      <c r="E8" s="117" t="s">
        <v>385</v>
      </c>
      <c r="F8" s="117" t="s">
        <v>58</v>
      </c>
      <c r="G8" s="117" t="s">
        <v>207</v>
      </c>
    </row>
    <row r="9" spans="1:7" ht="16.5">
      <c r="A9" s="49" t="s">
        <v>101</v>
      </c>
      <c r="B9" s="50" t="s">
        <v>102</v>
      </c>
      <c r="C9" s="119" t="s">
        <v>384</v>
      </c>
      <c r="D9" s="119" t="s">
        <v>374</v>
      </c>
      <c r="E9" s="119" t="s">
        <v>374</v>
      </c>
      <c r="F9" s="119" t="s">
        <v>417</v>
      </c>
      <c r="G9" s="119" t="s">
        <v>231</v>
      </c>
    </row>
    <row r="10" spans="1:7" ht="4.5" customHeight="1">
      <c r="A10" s="74"/>
      <c r="B10" s="74"/>
      <c r="C10" s="77"/>
      <c r="D10" s="77"/>
      <c r="E10" s="77"/>
      <c r="F10" s="77"/>
      <c r="G10" s="77"/>
    </row>
    <row r="11" spans="1:7" ht="12.75">
      <c r="A11" s="358">
        <v>1</v>
      </c>
      <c r="B11" s="12" t="s">
        <v>116</v>
      </c>
      <c r="C11" s="405">
        <v>624565</v>
      </c>
      <c r="D11" s="405">
        <v>349712</v>
      </c>
      <c r="E11" s="405">
        <v>612950</v>
      </c>
      <c r="F11" s="405">
        <v>1278209</v>
      </c>
      <c r="G11" s="405">
        <f>SUM('- 58 -'!C11:G11,C11:F11)</f>
        <v>24382501</v>
      </c>
    </row>
    <row r="12" spans="1:7" ht="12.75">
      <c r="A12" s="359">
        <v>2</v>
      </c>
      <c r="B12" s="14" t="s">
        <v>117</v>
      </c>
      <c r="C12" s="406">
        <v>301121</v>
      </c>
      <c r="D12" s="406">
        <v>103752</v>
      </c>
      <c r="E12" s="406">
        <v>417550</v>
      </c>
      <c r="F12" s="406">
        <v>97467</v>
      </c>
      <c r="G12" s="406">
        <f>SUM('- 58 -'!C12:G12,C12:F12)</f>
        <v>5847467</v>
      </c>
    </row>
    <row r="13" spans="1:7" ht="12.75">
      <c r="A13" s="358">
        <v>3</v>
      </c>
      <c r="B13" s="12" t="s">
        <v>118</v>
      </c>
      <c r="C13" s="405">
        <v>276852</v>
      </c>
      <c r="D13" s="405">
        <v>66253</v>
      </c>
      <c r="E13" s="405">
        <v>168075</v>
      </c>
      <c r="F13" s="405">
        <v>67815</v>
      </c>
      <c r="G13" s="405">
        <f>SUM('- 58 -'!C13:G13,C13:F13)</f>
        <v>2867143</v>
      </c>
    </row>
    <row r="14" spans="1:7" ht="12.75">
      <c r="A14" s="359">
        <v>4</v>
      </c>
      <c r="B14" s="14" t="s">
        <v>119</v>
      </c>
      <c r="C14" s="406">
        <v>484017</v>
      </c>
      <c r="D14" s="406">
        <v>69157</v>
      </c>
      <c r="E14" s="406">
        <v>188325</v>
      </c>
      <c r="F14" s="406">
        <v>75680</v>
      </c>
      <c r="G14" s="406">
        <f>SUM('- 58 -'!C14:G14,C14:F14)</f>
        <v>3700604</v>
      </c>
    </row>
    <row r="15" spans="1:7" ht="12.75">
      <c r="A15" s="358">
        <v>5</v>
      </c>
      <c r="B15" s="12" t="s">
        <v>120</v>
      </c>
      <c r="C15" s="405">
        <v>225828</v>
      </c>
      <c r="D15" s="405">
        <v>79926</v>
      </c>
      <c r="E15" s="405">
        <v>213435</v>
      </c>
      <c r="F15" s="405">
        <v>412223</v>
      </c>
      <c r="G15" s="405">
        <f>SUM('- 58 -'!C15:G15,C15:F15)</f>
        <v>3617111</v>
      </c>
    </row>
    <row r="16" spans="1:7" ht="12.75">
      <c r="A16" s="359">
        <v>6</v>
      </c>
      <c r="B16" s="14" t="s">
        <v>121</v>
      </c>
      <c r="C16" s="406">
        <v>507582</v>
      </c>
      <c r="D16" s="406">
        <v>98406</v>
      </c>
      <c r="E16" s="406">
        <v>283935</v>
      </c>
      <c r="F16" s="406">
        <v>359689</v>
      </c>
      <c r="G16" s="406">
        <f>SUM('- 58 -'!C16:G16,C16:F16)</f>
        <v>5515401</v>
      </c>
    </row>
    <row r="17" spans="1:7" ht="12.75">
      <c r="A17" s="358">
        <v>9</v>
      </c>
      <c r="B17" s="12" t="s">
        <v>122</v>
      </c>
      <c r="C17" s="405">
        <v>297090</v>
      </c>
      <c r="D17" s="405">
        <v>138479</v>
      </c>
      <c r="E17" s="405">
        <v>371010</v>
      </c>
      <c r="F17" s="405">
        <v>286059</v>
      </c>
      <c r="G17" s="405">
        <f>SUM('- 58 -'!C17:G17,C17:F17)</f>
        <v>7738437</v>
      </c>
    </row>
    <row r="18" spans="1:7" ht="12.75">
      <c r="A18" s="359">
        <v>10</v>
      </c>
      <c r="B18" s="14" t="s">
        <v>123</v>
      </c>
      <c r="C18" s="406">
        <v>229960</v>
      </c>
      <c r="D18" s="406">
        <v>94952</v>
      </c>
      <c r="E18" s="406">
        <v>262440</v>
      </c>
      <c r="F18" s="406">
        <v>178992</v>
      </c>
      <c r="G18" s="406">
        <f>SUM('- 58 -'!C18:G18,C18:F18)</f>
        <v>5490054</v>
      </c>
    </row>
    <row r="19" spans="1:7" ht="12.75">
      <c r="A19" s="358">
        <v>11</v>
      </c>
      <c r="B19" s="12" t="s">
        <v>124</v>
      </c>
      <c r="C19" s="405">
        <v>89602</v>
      </c>
      <c r="D19" s="405">
        <v>51227</v>
      </c>
      <c r="E19" s="405">
        <v>166080</v>
      </c>
      <c r="F19" s="405">
        <v>221292</v>
      </c>
      <c r="G19" s="405">
        <f>SUM('- 58 -'!C19:G19,C19:F19)</f>
        <v>4748818</v>
      </c>
    </row>
    <row r="20" spans="1:7" ht="12.75">
      <c r="A20" s="359">
        <v>12</v>
      </c>
      <c r="B20" s="14" t="s">
        <v>125</v>
      </c>
      <c r="C20" s="406">
        <v>332960</v>
      </c>
      <c r="D20" s="406">
        <v>87703</v>
      </c>
      <c r="E20" s="406">
        <v>388420</v>
      </c>
      <c r="F20" s="406">
        <v>91263</v>
      </c>
      <c r="G20" s="406">
        <f>SUM('- 58 -'!C20:G20,C20:F20)</f>
        <v>5162507</v>
      </c>
    </row>
    <row r="21" spans="1:7" ht="12.75">
      <c r="A21" s="358">
        <v>13</v>
      </c>
      <c r="B21" s="12" t="s">
        <v>126</v>
      </c>
      <c r="C21" s="405">
        <v>75348</v>
      </c>
      <c r="D21" s="405">
        <v>30008</v>
      </c>
      <c r="E21" s="405">
        <v>77355</v>
      </c>
      <c r="F21" s="405">
        <v>105441</v>
      </c>
      <c r="G21" s="405">
        <f>SUM('- 58 -'!C21:G21,C21:F21)</f>
        <v>2815422</v>
      </c>
    </row>
    <row r="22" spans="1:7" ht="12.75">
      <c r="A22" s="359">
        <v>14</v>
      </c>
      <c r="B22" s="14" t="s">
        <v>127</v>
      </c>
      <c r="C22" s="406">
        <v>268166</v>
      </c>
      <c r="D22" s="406">
        <v>40379</v>
      </c>
      <c r="E22" s="406">
        <v>113400</v>
      </c>
      <c r="F22" s="406">
        <v>72181</v>
      </c>
      <c r="G22" s="406">
        <f>SUM('- 58 -'!C22:G22,C22:F22)</f>
        <v>3711306</v>
      </c>
    </row>
    <row r="23" spans="1:7" ht="12.75">
      <c r="A23" s="358">
        <v>15</v>
      </c>
      <c r="B23" s="12" t="s">
        <v>128</v>
      </c>
      <c r="C23" s="405">
        <v>28634</v>
      </c>
      <c r="D23" s="405">
        <v>69641</v>
      </c>
      <c r="E23" s="405">
        <v>204525</v>
      </c>
      <c r="F23" s="405">
        <v>475561</v>
      </c>
      <c r="G23" s="405">
        <f>SUM('- 58 -'!C23:G23,C23:F23)</f>
        <v>4461008</v>
      </c>
    </row>
    <row r="24" spans="1:7" ht="12.75">
      <c r="A24" s="359">
        <v>16</v>
      </c>
      <c r="B24" s="14" t="s">
        <v>129</v>
      </c>
      <c r="C24" s="406">
        <v>3100</v>
      </c>
      <c r="D24" s="406">
        <v>8536</v>
      </c>
      <c r="E24" s="406">
        <v>21060</v>
      </c>
      <c r="F24" s="406">
        <v>120876</v>
      </c>
      <c r="G24" s="406">
        <f>SUM('- 58 -'!C24:G24,C24:F24)</f>
        <v>1123213</v>
      </c>
    </row>
    <row r="25" spans="1:7" ht="12.75">
      <c r="A25" s="358">
        <v>17</v>
      </c>
      <c r="B25" s="12" t="s">
        <v>130</v>
      </c>
      <c r="C25" s="405">
        <v>91057</v>
      </c>
      <c r="D25" s="405">
        <v>5665</v>
      </c>
      <c r="E25" s="405">
        <v>14175</v>
      </c>
      <c r="F25" s="405">
        <v>48400</v>
      </c>
      <c r="G25" s="405">
        <f>SUM('- 58 -'!C25:G25,C25:F25)</f>
        <v>801771</v>
      </c>
    </row>
    <row r="26" spans="1:7" ht="12.75">
      <c r="A26" s="359">
        <v>18</v>
      </c>
      <c r="B26" s="14" t="s">
        <v>131</v>
      </c>
      <c r="C26" s="406">
        <v>2589</v>
      </c>
      <c r="D26" s="406">
        <v>15939</v>
      </c>
      <c r="E26" s="406">
        <v>44955</v>
      </c>
      <c r="F26" s="406">
        <v>95032</v>
      </c>
      <c r="G26" s="406">
        <f>SUM('- 58 -'!C26:G26,C26:F26)</f>
        <v>1254323</v>
      </c>
    </row>
    <row r="27" spans="1:7" ht="12.75">
      <c r="A27" s="358">
        <v>19</v>
      </c>
      <c r="B27" s="12" t="s">
        <v>132</v>
      </c>
      <c r="C27" s="405">
        <v>5670</v>
      </c>
      <c r="D27" s="405">
        <v>20779</v>
      </c>
      <c r="E27" s="405">
        <v>188681</v>
      </c>
      <c r="F27" s="405">
        <v>90048</v>
      </c>
      <c r="G27" s="405">
        <f>SUM('- 58 -'!C27:G27,C27:F27)</f>
        <v>2076444</v>
      </c>
    </row>
    <row r="28" spans="1:7" ht="12.75">
      <c r="A28" s="359">
        <v>20</v>
      </c>
      <c r="B28" s="14" t="s">
        <v>133</v>
      </c>
      <c r="C28" s="406">
        <v>46992</v>
      </c>
      <c r="D28" s="406">
        <v>12388</v>
      </c>
      <c r="E28" s="406">
        <v>28350</v>
      </c>
      <c r="F28" s="406">
        <v>126318</v>
      </c>
      <c r="G28" s="406">
        <f>SUM('- 58 -'!C28:G28,C28:F28)</f>
        <v>1126002</v>
      </c>
    </row>
    <row r="29" spans="1:7" ht="12.75">
      <c r="A29" s="358">
        <v>21</v>
      </c>
      <c r="B29" s="12" t="s">
        <v>134</v>
      </c>
      <c r="C29" s="405">
        <v>25236</v>
      </c>
      <c r="D29" s="405">
        <v>38302</v>
      </c>
      <c r="E29" s="405">
        <v>102870</v>
      </c>
      <c r="F29" s="405">
        <v>122196</v>
      </c>
      <c r="G29" s="405">
        <f>SUM('- 58 -'!C29:G29,C29:F29)</f>
        <v>2921940</v>
      </c>
    </row>
    <row r="30" spans="1:7" ht="12.75">
      <c r="A30" s="359">
        <v>22</v>
      </c>
      <c r="B30" s="14" t="s">
        <v>135</v>
      </c>
      <c r="C30" s="406">
        <v>4376</v>
      </c>
      <c r="D30" s="406">
        <v>18513</v>
      </c>
      <c r="E30" s="406">
        <v>46575</v>
      </c>
      <c r="F30" s="406">
        <v>46669</v>
      </c>
      <c r="G30" s="406">
        <f>SUM('- 58 -'!C30:G30,C30:F30)</f>
        <v>1691380</v>
      </c>
    </row>
    <row r="31" spans="1:7" ht="12.75">
      <c r="A31" s="358">
        <v>23</v>
      </c>
      <c r="B31" s="12" t="s">
        <v>136</v>
      </c>
      <c r="C31" s="405">
        <v>8220</v>
      </c>
      <c r="D31" s="405">
        <v>15378</v>
      </c>
      <c r="E31" s="405">
        <v>42120</v>
      </c>
      <c r="F31" s="405">
        <v>88558</v>
      </c>
      <c r="G31" s="405">
        <f>SUM('- 58 -'!C31:G31,C31:F31)</f>
        <v>1986139</v>
      </c>
    </row>
    <row r="32" spans="1:7" ht="12.75">
      <c r="A32" s="359">
        <v>24</v>
      </c>
      <c r="B32" s="14" t="s">
        <v>137</v>
      </c>
      <c r="C32" s="406">
        <v>64685</v>
      </c>
      <c r="D32" s="406">
        <v>39908</v>
      </c>
      <c r="E32" s="406">
        <v>106110</v>
      </c>
      <c r="F32" s="406">
        <v>117706</v>
      </c>
      <c r="G32" s="406">
        <f>SUM('- 58 -'!C32:G32,C32:F32)</f>
        <v>2813598</v>
      </c>
    </row>
    <row r="33" spans="1:7" ht="12.75">
      <c r="A33" s="358">
        <v>25</v>
      </c>
      <c r="B33" s="12" t="s">
        <v>138</v>
      </c>
      <c r="C33" s="405">
        <v>5261</v>
      </c>
      <c r="D33" s="405">
        <v>16731</v>
      </c>
      <c r="E33" s="405">
        <v>38475</v>
      </c>
      <c r="F33" s="405">
        <v>94012</v>
      </c>
      <c r="G33" s="405">
        <f>SUM('- 58 -'!C33:G33,C33:F33)</f>
        <v>1414495</v>
      </c>
    </row>
    <row r="34" spans="1:7" ht="12.75">
      <c r="A34" s="359">
        <v>26</v>
      </c>
      <c r="B34" s="14" t="s">
        <v>139</v>
      </c>
      <c r="C34" s="406">
        <v>3188</v>
      </c>
      <c r="D34" s="406">
        <v>31548</v>
      </c>
      <c r="E34" s="406">
        <v>101250</v>
      </c>
      <c r="F34" s="406">
        <v>366428</v>
      </c>
      <c r="G34" s="406">
        <f>SUM('- 58 -'!C34:G34,C34:F34)</f>
        <v>2318132</v>
      </c>
    </row>
    <row r="35" spans="1:7" ht="12.75">
      <c r="A35" s="358">
        <v>28</v>
      </c>
      <c r="B35" s="12" t="s">
        <v>140</v>
      </c>
      <c r="C35" s="405">
        <v>38738</v>
      </c>
      <c r="D35" s="405">
        <v>9273</v>
      </c>
      <c r="E35" s="405">
        <v>22275</v>
      </c>
      <c r="F35" s="405">
        <v>99626</v>
      </c>
      <c r="G35" s="405">
        <f>SUM('- 58 -'!C35:G35,C35:F35)</f>
        <v>927810</v>
      </c>
    </row>
    <row r="36" spans="1:7" ht="12.75">
      <c r="A36" s="359">
        <v>30</v>
      </c>
      <c r="B36" s="14" t="s">
        <v>141</v>
      </c>
      <c r="C36" s="406">
        <v>4912</v>
      </c>
      <c r="D36" s="406">
        <v>15444</v>
      </c>
      <c r="E36" s="406">
        <v>34830</v>
      </c>
      <c r="F36" s="406">
        <v>86996</v>
      </c>
      <c r="G36" s="406">
        <f>SUM('- 58 -'!C36:G36,C36:F36)</f>
        <v>1692022</v>
      </c>
    </row>
    <row r="37" spans="1:7" ht="12.75">
      <c r="A37" s="358">
        <v>31</v>
      </c>
      <c r="B37" s="12" t="s">
        <v>142</v>
      </c>
      <c r="C37" s="405">
        <v>4069</v>
      </c>
      <c r="D37" s="405">
        <v>18128</v>
      </c>
      <c r="E37" s="405">
        <v>44550</v>
      </c>
      <c r="F37" s="405">
        <v>77100</v>
      </c>
      <c r="G37" s="405">
        <f>SUM('- 58 -'!C37:G37,C37:F37)</f>
        <v>1435755</v>
      </c>
    </row>
    <row r="38" spans="1:7" ht="12.75">
      <c r="A38" s="359">
        <v>32</v>
      </c>
      <c r="B38" s="14" t="s">
        <v>143</v>
      </c>
      <c r="C38" s="406">
        <v>15308</v>
      </c>
      <c r="D38" s="406">
        <v>9779</v>
      </c>
      <c r="E38" s="406">
        <v>28755</v>
      </c>
      <c r="F38" s="406">
        <v>75227</v>
      </c>
      <c r="G38" s="406">
        <f>SUM('- 58 -'!C38:G38,C38:F38)</f>
        <v>1364305</v>
      </c>
    </row>
    <row r="39" spans="1:7" ht="12.75">
      <c r="A39" s="358">
        <v>33</v>
      </c>
      <c r="B39" s="12" t="s">
        <v>144</v>
      </c>
      <c r="C39" s="405">
        <v>34704</v>
      </c>
      <c r="D39" s="405">
        <v>19228</v>
      </c>
      <c r="E39" s="405">
        <v>56700</v>
      </c>
      <c r="F39" s="405">
        <v>49912</v>
      </c>
      <c r="G39" s="405">
        <f>SUM('- 58 -'!C39:G39,C39:F39)</f>
        <v>1759173</v>
      </c>
    </row>
    <row r="40" spans="1:7" ht="12.75">
      <c r="A40" s="359">
        <v>34</v>
      </c>
      <c r="B40" s="14" t="s">
        <v>145</v>
      </c>
      <c r="C40" s="406">
        <v>371</v>
      </c>
      <c r="D40" s="406">
        <v>7249</v>
      </c>
      <c r="E40" s="406">
        <v>19845</v>
      </c>
      <c r="F40" s="406">
        <v>55332</v>
      </c>
      <c r="G40" s="406">
        <f>SUM('- 58 -'!C40:G40,C40:F40)</f>
        <v>1040091</v>
      </c>
    </row>
    <row r="41" spans="1:7" ht="12.75">
      <c r="A41" s="358">
        <v>35</v>
      </c>
      <c r="B41" s="12" t="s">
        <v>146</v>
      </c>
      <c r="C41" s="405">
        <v>29772</v>
      </c>
      <c r="D41" s="405">
        <v>20955</v>
      </c>
      <c r="E41" s="405">
        <v>60625</v>
      </c>
      <c r="F41" s="405">
        <v>31813</v>
      </c>
      <c r="G41" s="405">
        <f>SUM('- 58 -'!C41:G41,C41:F41)</f>
        <v>2175501</v>
      </c>
    </row>
    <row r="42" spans="1:7" ht="12.75">
      <c r="A42" s="359">
        <v>36</v>
      </c>
      <c r="B42" s="14" t="s">
        <v>147</v>
      </c>
      <c r="C42" s="406">
        <v>4579</v>
      </c>
      <c r="D42" s="406">
        <v>10780</v>
      </c>
      <c r="E42" s="406">
        <v>27135</v>
      </c>
      <c r="F42" s="406">
        <v>54165</v>
      </c>
      <c r="G42" s="406">
        <f>SUM('- 58 -'!C42:G42,C42:F42)</f>
        <v>996682</v>
      </c>
    </row>
    <row r="43" spans="1:7" ht="12.75">
      <c r="A43" s="358">
        <v>37</v>
      </c>
      <c r="B43" s="12" t="s">
        <v>148</v>
      </c>
      <c r="C43" s="405">
        <v>2889</v>
      </c>
      <c r="D43" s="405">
        <v>10637</v>
      </c>
      <c r="E43" s="405">
        <v>23085</v>
      </c>
      <c r="F43" s="405">
        <v>39725</v>
      </c>
      <c r="G43" s="405">
        <f>SUM('- 58 -'!C43:G43,C43:F43)</f>
        <v>1007962</v>
      </c>
    </row>
    <row r="44" spans="1:7" ht="12.75">
      <c r="A44" s="359">
        <v>38</v>
      </c>
      <c r="B44" s="14" t="s">
        <v>149</v>
      </c>
      <c r="C44" s="406">
        <v>4915</v>
      </c>
      <c r="D44" s="406">
        <v>12375</v>
      </c>
      <c r="E44" s="406">
        <v>28350</v>
      </c>
      <c r="F44" s="406">
        <v>84702</v>
      </c>
      <c r="G44" s="406">
        <f>SUM('- 58 -'!C44:G44,C44:F44)</f>
        <v>1256553</v>
      </c>
    </row>
    <row r="45" spans="1:7" ht="12.75">
      <c r="A45" s="358">
        <v>39</v>
      </c>
      <c r="B45" s="12" t="s">
        <v>150</v>
      </c>
      <c r="C45" s="405">
        <v>9126</v>
      </c>
      <c r="D45" s="405">
        <v>23210</v>
      </c>
      <c r="E45" s="405">
        <v>59940</v>
      </c>
      <c r="F45" s="405">
        <v>108083</v>
      </c>
      <c r="G45" s="405">
        <f>SUM('- 58 -'!C45:G45,C45:F45)</f>
        <v>2019389</v>
      </c>
    </row>
    <row r="46" spans="1:7" ht="12.75">
      <c r="A46" s="359">
        <v>40</v>
      </c>
      <c r="B46" s="14" t="s">
        <v>151</v>
      </c>
      <c r="C46" s="406">
        <v>137425</v>
      </c>
      <c r="D46" s="406">
        <v>101524</v>
      </c>
      <c r="E46" s="406">
        <v>290585</v>
      </c>
      <c r="F46" s="406">
        <v>69884</v>
      </c>
      <c r="G46" s="406">
        <f>SUM('- 58 -'!C46:G46,C46:F46)</f>
        <v>4832023</v>
      </c>
    </row>
    <row r="47" spans="1:7" ht="12.75">
      <c r="A47" s="358">
        <v>41</v>
      </c>
      <c r="B47" s="12" t="s">
        <v>152</v>
      </c>
      <c r="C47" s="405">
        <v>2070</v>
      </c>
      <c r="D47" s="405">
        <v>16610</v>
      </c>
      <c r="E47" s="405">
        <v>43740</v>
      </c>
      <c r="F47" s="405">
        <v>63307</v>
      </c>
      <c r="G47" s="405">
        <f>SUM('- 58 -'!C47:G47,C47:F47)</f>
        <v>1668285</v>
      </c>
    </row>
    <row r="48" spans="1:7" ht="12.75">
      <c r="A48" s="359">
        <v>42</v>
      </c>
      <c r="B48" s="14" t="s">
        <v>153</v>
      </c>
      <c r="C48" s="406">
        <v>5147</v>
      </c>
      <c r="D48" s="406">
        <v>12067</v>
      </c>
      <c r="E48" s="406">
        <v>24300</v>
      </c>
      <c r="F48" s="406">
        <v>81942</v>
      </c>
      <c r="G48" s="406">
        <f>SUM('- 58 -'!C48:G48,C48:F48)</f>
        <v>1066254</v>
      </c>
    </row>
    <row r="49" spans="1:7" ht="12.75">
      <c r="A49" s="358">
        <v>43</v>
      </c>
      <c r="B49" s="12" t="s">
        <v>154</v>
      </c>
      <c r="C49" s="405">
        <v>2950</v>
      </c>
      <c r="D49" s="405">
        <v>9119</v>
      </c>
      <c r="E49" s="405">
        <v>18225</v>
      </c>
      <c r="F49" s="405">
        <v>43623</v>
      </c>
      <c r="G49" s="405">
        <f>SUM('- 58 -'!C49:G49,C49:F49)</f>
        <v>790012</v>
      </c>
    </row>
    <row r="50" spans="1:7" ht="12.75">
      <c r="A50" s="359">
        <v>44</v>
      </c>
      <c r="B50" s="14" t="s">
        <v>155</v>
      </c>
      <c r="C50" s="406">
        <v>4064</v>
      </c>
      <c r="D50" s="406">
        <v>14322</v>
      </c>
      <c r="E50" s="406">
        <v>31590</v>
      </c>
      <c r="F50" s="406">
        <v>61608</v>
      </c>
      <c r="G50" s="406">
        <f>SUM('- 58 -'!C50:G50,C50:F50)</f>
        <v>1179580</v>
      </c>
    </row>
    <row r="51" spans="1:7" ht="12.75">
      <c r="A51" s="358">
        <v>45</v>
      </c>
      <c r="B51" s="12" t="s">
        <v>156</v>
      </c>
      <c r="C51" s="405">
        <v>42613</v>
      </c>
      <c r="D51" s="405">
        <v>19437</v>
      </c>
      <c r="E51" s="405">
        <v>71965</v>
      </c>
      <c r="F51" s="405">
        <v>412310</v>
      </c>
      <c r="G51" s="405">
        <f>SUM('- 58 -'!C51:G51,C51:F51)</f>
        <v>1945552</v>
      </c>
    </row>
    <row r="52" spans="1:7" ht="12.75">
      <c r="A52" s="359">
        <v>46</v>
      </c>
      <c r="B52" s="14" t="s">
        <v>157</v>
      </c>
      <c r="C52" s="406">
        <v>27390</v>
      </c>
      <c r="D52" s="406">
        <v>13849</v>
      </c>
      <c r="E52" s="406">
        <v>37665</v>
      </c>
      <c r="F52" s="406">
        <v>306146</v>
      </c>
      <c r="G52" s="406">
        <f>SUM('- 58 -'!C52:G52,C52:F52)</f>
        <v>902866</v>
      </c>
    </row>
    <row r="53" spans="1:7" ht="12.75">
      <c r="A53" s="358">
        <v>47</v>
      </c>
      <c r="B53" s="12" t="s">
        <v>158</v>
      </c>
      <c r="C53" s="405">
        <v>29540</v>
      </c>
      <c r="D53" s="405">
        <v>16709</v>
      </c>
      <c r="E53" s="405">
        <v>38475</v>
      </c>
      <c r="F53" s="405">
        <v>32659</v>
      </c>
      <c r="G53" s="405">
        <f>SUM('- 58 -'!C53:G53,C53:F53)</f>
        <v>1024645</v>
      </c>
    </row>
    <row r="54" spans="1:7" ht="12.75">
      <c r="A54" s="359">
        <v>48</v>
      </c>
      <c r="B54" s="14" t="s">
        <v>159</v>
      </c>
      <c r="C54" s="406">
        <v>991</v>
      </c>
      <c r="D54" s="406">
        <v>31735</v>
      </c>
      <c r="E54" s="406">
        <v>198650</v>
      </c>
      <c r="F54" s="406">
        <v>2004553</v>
      </c>
      <c r="G54" s="406">
        <f>SUM('- 58 -'!C54:G54,C54:F54)</f>
        <v>5022426</v>
      </c>
    </row>
    <row r="55" spans="1:7" ht="12.75">
      <c r="A55" s="358">
        <v>49</v>
      </c>
      <c r="B55" s="12" t="s">
        <v>160</v>
      </c>
      <c r="C55" s="405">
        <v>1180557</v>
      </c>
      <c r="D55" s="405">
        <v>50776</v>
      </c>
      <c r="E55" s="405">
        <v>134865</v>
      </c>
      <c r="F55" s="405">
        <v>537735</v>
      </c>
      <c r="G55" s="405">
        <f>SUM('- 58 -'!C55:G55,C55:F55)</f>
        <v>4948204</v>
      </c>
    </row>
    <row r="56" spans="1:7" ht="12.75">
      <c r="A56" s="359">
        <v>50</v>
      </c>
      <c r="B56" s="14" t="s">
        <v>343</v>
      </c>
      <c r="C56" s="406">
        <v>9422</v>
      </c>
      <c r="D56" s="406">
        <v>20504</v>
      </c>
      <c r="E56" s="406">
        <v>54675</v>
      </c>
      <c r="F56" s="406">
        <v>175779</v>
      </c>
      <c r="G56" s="406">
        <f>SUM('- 58 -'!C56:G56,C56:F56)</f>
        <v>2115009</v>
      </c>
    </row>
    <row r="57" spans="1:7" ht="12.75">
      <c r="A57" s="358">
        <v>2264</v>
      </c>
      <c r="B57" s="12" t="s">
        <v>161</v>
      </c>
      <c r="C57" s="405">
        <v>0</v>
      </c>
      <c r="D57" s="405">
        <v>2585</v>
      </c>
      <c r="E57" s="405">
        <v>8505</v>
      </c>
      <c r="F57" s="405">
        <v>128203</v>
      </c>
      <c r="G57" s="405">
        <f>SUM('- 58 -'!C57:G57,C57:F57)</f>
        <v>380835</v>
      </c>
    </row>
    <row r="58" spans="1:7" ht="12.75">
      <c r="A58" s="359">
        <v>2309</v>
      </c>
      <c r="B58" s="14" t="s">
        <v>162</v>
      </c>
      <c r="C58" s="406">
        <v>432</v>
      </c>
      <c r="D58" s="406">
        <v>2860</v>
      </c>
      <c r="E58" s="406">
        <v>0</v>
      </c>
      <c r="F58" s="406">
        <v>138875</v>
      </c>
      <c r="G58" s="406">
        <f>SUM('- 58 -'!C58:G58,C58:F58)</f>
        <v>262464</v>
      </c>
    </row>
    <row r="59" spans="1:7" ht="12.75">
      <c r="A59" s="358">
        <v>2312</v>
      </c>
      <c r="B59" s="12" t="s">
        <v>163</v>
      </c>
      <c r="C59" s="405">
        <v>0</v>
      </c>
      <c r="D59" s="405">
        <v>2299</v>
      </c>
      <c r="E59" s="405">
        <v>9315</v>
      </c>
      <c r="F59" s="405">
        <v>117163</v>
      </c>
      <c r="G59" s="405">
        <f>SUM('- 58 -'!C59:G59,C59:F59)</f>
        <v>307724</v>
      </c>
    </row>
    <row r="60" spans="1:7" ht="12.75">
      <c r="A60" s="359">
        <v>2355</v>
      </c>
      <c r="B60" s="14" t="s">
        <v>164</v>
      </c>
      <c r="C60" s="406">
        <v>62752</v>
      </c>
      <c r="D60" s="406">
        <v>39875</v>
      </c>
      <c r="E60" s="406">
        <v>106795</v>
      </c>
      <c r="F60" s="406">
        <v>729227</v>
      </c>
      <c r="G60" s="406">
        <f>SUM('- 58 -'!C60:G60,C60:F60)</f>
        <v>2608757</v>
      </c>
    </row>
    <row r="61" spans="1:7" ht="12.75">
      <c r="A61" s="358">
        <v>2439</v>
      </c>
      <c r="B61" s="12" t="s">
        <v>165</v>
      </c>
      <c r="C61" s="405">
        <v>94</v>
      </c>
      <c r="D61" s="405">
        <v>1705</v>
      </c>
      <c r="E61" s="405">
        <v>3645</v>
      </c>
      <c r="F61" s="405">
        <v>38713</v>
      </c>
      <c r="G61" s="405">
        <f>SUM('- 58 -'!C61:G61,C61:F61)</f>
        <v>383537</v>
      </c>
    </row>
    <row r="62" spans="1:7" ht="12.75">
      <c r="A62" s="359">
        <v>2460</v>
      </c>
      <c r="B62" s="14" t="s">
        <v>166</v>
      </c>
      <c r="C62" s="406">
        <v>0</v>
      </c>
      <c r="D62" s="406">
        <v>3388</v>
      </c>
      <c r="E62" s="406">
        <v>8100</v>
      </c>
      <c r="F62" s="406">
        <v>186267</v>
      </c>
      <c r="G62" s="406">
        <f>SUM('- 58 -'!C62:G62,C62:F62)</f>
        <v>328823</v>
      </c>
    </row>
    <row r="63" spans="1:7" ht="12.75">
      <c r="A63" s="358">
        <v>3000</v>
      </c>
      <c r="B63" s="12" t="s">
        <v>366</v>
      </c>
      <c r="C63" s="405">
        <v>0</v>
      </c>
      <c r="D63" s="405">
        <v>0</v>
      </c>
      <c r="E63" s="405">
        <v>0</v>
      </c>
      <c r="F63" s="405">
        <v>0</v>
      </c>
      <c r="G63" s="405">
        <f>SUM('- 58 -'!C63:G63,C63:F63)</f>
        <v>540500</v>
      </c>
    </row>
    <row r="64" spans="3:7" ht="4.5" customHeight="1">
      <c r="C64" s="412"/>
      <c r="D64" s="412"/>
      <c r="E64" s="412"/>
      <c r="F64" s="412"/>
      <c r="G64" s="412"/>
    </row>
    <row r="65" spans="1:7" ht="12.75">
      <c r="A65" s="99"/>
      <c r="B65" s="18" t="s">
        <v>167</v>
      </c>
      <c r="C65" s="407">
        <f>SUM(C11:C63)</f>
        <v>5656929</v>
      </c>
      <c r="D65" s="407">
        <f>SUM(D11:D63)</f>
        <v>2019704</v>
      </c>
      <c r="E65" s="407">
        <f>SUM(E11:E63)</f>
        <v>5689306</v>
      </c>
      <c r="F65" s="407">
        <f>SUM(F11:F63)</f>
        <v>10928790</v>
      </c>
      <c r="G65" s="407">
        <f>SUM(G11:G63)</f>
        <v>145567955</v>
      </c>
    </row>
    <row r="66" spans="3:7" ht="4.5" customHeight="1">
      <c r="C66" s="412"/>
      <c r="D66" s="412"/>
      <c r="E66" s="412"/>
      <c r="F66" s="412"/>
      <c r="G66" s="412"/>
    </row>
    <row r="67" spans="1:7" ht="12.75">
      <c r="A67" s="96">
        <v>2155</v>
      </c>
      <c r="B67" s="97" t="s">
        <v>168</v>
      </c>
      <c r="C67" s="406">
        <v>843</v>
      </c>
      <c r="D67" s="406">
        <v>649</v>
      </c>
      <c r="E67" s="406">
        <v>3645</v>
      </c>
      <c r="F67" s="406">
        <v>13420</v>
      </c>
      <c r="G67" s="406">
        <f>SUM('- 58 -'!C67:G67,C67:F67)</f>
        <v>123815</v>
      </c>
    </row>
    <row r="68" spans="1:7" ht="12.75">
      <c r="A68" s="94">
        <v>2408</v>
      </c>
      <c r="B68" s="95" t="s">
        <v>170</v>
      </c>
      <c r="C68" s="405">
        <v>1089</v>
      </c>
      <c r="D68" s="405">
        <v>2541</v>
      </c>
      <c r="E68" s="405">
        <v>6075</v>
      </c>
      <c r="F68" s="405">
        <v>22868</v>
      </c>
      <c r="G68" s="405">
        <f>SUM('- 58 -'!C68:G68,C68:F68)</f>
        <v>119453</v>
      </c>
    </row>
    <row r="69" spans="3:7" ht="6.75" customHeight="1">
      <c r="C69" s="15"/>
      <c r="D69" s="15"/>
      <c r="E69" s="15"/>
      <c r="F69" s="15"/>
      <c r="G69" s="15"/>
    </row>
    <row r="70" spans="1:7" ht="12" customHeight="1">
      <c r="A70" s="380" t="s">
        <v>354</v>
      </c>
      <c r="B70" s="267" t="s">
        <v>473</v>
      </c>
      <c r="F70" s="120"/>
      <c r="G70" s="120"/>
    </row>
    <row r="71" spans="1:7" ht="12" customHeight="1">
      <c r="A71" s="52"/>
      <c r="B71" s="267" t="s">
        <v>389</v>
      </c>
      <c r="F71" s="120"/>
      <c r="G71" s="120"/>
    </row>
    <row r="72" spans="1:7" ht="12" customHeight="1">
      <c r="A72" s="52"/>
      <c r="C72" s="121"/>
      <c r="D72" s="121"/>
      <c r="E72" s="121"/>
      <c r="F72" s="120"/>
      <c r="G72" s="120"/>
    </row>
    <row r="73" spans="6:7" ht="12" customHeight="1">
      <c r="F73" s="126"/>
      <c r="G73" s="126"/>
    </row>
    <row r="74" spans="1:7" ht="12" customHeight="1">
      <c r="A74" s="4"/>
      <c r="B74" s="4"/>
      <c r="C74" s="126"/>
      <c r="D74" s="126"/>
      <c r="E74" s="126"/>
      <c r="F74" s="126"/>
      <c r="G74" s="126"/>
    </row>
    <row r="75" spans="3:7" ht="12" customHeight="1">
      <c r="C75" s="126"/>
      <c r="D75" s="126"/>
      <c r="E75" s="126"/>
      <c r="F75" s="126"/>
      <c r="G75" s="126"/>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1.xml><?xml version="1.0" encoding="utf-8"?>
<worksheet xmlns="http://schemas.openxmlformats.org/spreadsheetml/2006/main" xmlns:r="http://schemas.openxmlformats.org/officeDocument/2006/relationships">
  <sheetPr codeName="Sheet48">
    <pageSetUpPr fitToPage="1"/>
  </sheetPr>
  <dimension ref="A1:G74"/>
  <sheetViews>
    <sheetView showGridLines="0" showZeros="0" workbookViewId="0" topLeftCell="A1">
      <selection activeCell="A1" sqref="A1"/>
    </sheetView>
  </sheetViews>
  <sheetFormatPr defaultColWidth="23.83203125" defaultRowHeight="12"/>
  <cols>
    <col min="1" max="1" width="6.83203125" style="79" customWidth="1"/>
    <col min="2" max="2" width="30.83203125" style="79" customWidth="1"/>
    <col min="3" max="4" width="23.83203125" style="79" customWidth="1"/>
    <col min="5" max="5" width="26.83203125" style="79" customWidth="1"/>
    <col min="6" max="6" width="1.83203125" style="79" customWidth="1"/>
    <col min="7" max="7" width="25.83203125" style="79" customWidth="1"/>
    <col min="8" max="16384" width="23.83203125" style="79" customWidth="1"/>
  </cols>
  <sheetData>
    <row r="1" spans="1:7" ht="6.75" customHeight="1">
      <c r="A1" s="15"/>
      <c r="B1" s="77"/>
      <c r="C1" s="77"/>
      <c r="D1" s="77"/>
      <c r="E1" s="77"/>
      <c r="F1" s="77"/>
      <c r="G1" s="77"/>
    </row>
    <row r="2" spans="1:7" ht="12.75">
      <c r="A2" s="9"/>
      <c r="B2" s="103"/>
      <c r="C2" s="104" t="str">
        <f>REVYEAR</f>
        <v>ANALYSIS OF OPERATING FUND REVENUE: 2001/2002 ACTUAL</v>
      </c>
      <c r="D2" s="104"/>
      <c r="E2" s="104"/>
      <c r="F2" s="104"/>
      <c r="G2" s="105" t="s">
        <v>379</v>
      </c>
    </row>
    <row r="3" spans="1:7" ht="12.75">
      <c r="A3" s="10"/>
      <c r="B3" s="106"/>
      <c r="C3" s="107"/>
      <c r="D3" s="107"/>
      <c r="E3" s="107"/>
      <c r="F3" s="107"/>
      <c r="G3" s="77"/>
    </row>
    <row r="4" ht="12.75">
      <c r="A4" s="8"/>
    </row>
    <row r="5" spans="1:5" ht="12.75">
      <c r="A5" s="8"/>
      <c r="C5" s="108" t="s">
        <v>519</v>
      </c>
      <c r="D5" s="109"/>
      <c r="E5" s="110"/>
    </row>
    <row r="6" spans="1:5" ht="12.75">
      <c r="A6" s="8"/>
      <c r="C6" s="111" t="s">
        <v>516</v>
      </c>
      <c r="D6" s="112"/>
      <c r="E6" s="113"/>
    </row>
    <row r="7" spans="1:7" ht="12.75">
      <c r="A7" s="15"/>
      <c r="C7" s="43"/>
      <c r="D7" s="114" t="s">
        <v>58</v>
      </c>
      <c r="E7" s="115" t="s">
        <v>70</v>
      </c>
      <c r="G7" s="114" t="s">
        <v>186</v>
      </c>
    </row>
    <row r="8" spans="1:7" ht="12.75">
      <c r="A8" s="91"/>
      <c r="B8" s="43"/>
      <c r="C8" s="117" t="s">
        <v>452</v>
      </c>
      <c r="D8" s="117" t="s">
        <v>208</v>
      </c>
      <c r="E8" s="118" t="s">
        <v>520</v>
      </c>
      <c r="G8" s="117" t="s">
        <v>209</v>
      </c>
    </row>
    <row r="9" spans="1:7" ht="16.5">
      <c r="A9" s="49" t="s">
        <v>101</v>
      </c>
      <c r="B9" s="50" t="s">
        <v>102</v>
      </c>
      <c r="C9" s="119" t="s">
        <v>453</v>
      </c>
      <c r="D9" s="119" t="s">
        <v>418</v>
      </c>
      <c r="E9" s="72" t="s">
        <v>208</v>
      </c>
      <c r="G9" s="119" t="s">
        <v>419</v>
      </c>
    </row>
    <row r="10" spans="1:7" ht="4.5" customHeight="1">
      <c r="A10" s="74"/>
      <c r="B10" s="74"/>
      <c r="C10" s="77"/>
      <c r="D10" s="77"/>
      <c r="E10" s="77"/>
      <c r="F10" s="77"/>
      <c r="G10" s="77"/>
    </row>
    <row r="11" spans="1:7" ht="12.75">
      <c r="A11" s="358">
        <v>1</v>
      </c>
      <c r="B11" s="12" t="s">
        <v>116</v>
      </c>
      <c r="C11" s="405">
        <v>8858410</v>
      </c>
      <c r="D11" s="405">
        <v>1197259</v>
      </c>
      <c r="E11" s="405">
        <f>SUM('- 57 -'!F11,'- 59 -'!G11,C11:D11)</f>
        <v>128082563</v>
      </c>
      <c r="G11" s="405">
        <v>26988088</v>
      </c>
    </row>
    <row r="12" spans="1:7" ht="12.75">
      <c r="A12" s="359">
        <v>2</v>
      </c>
      <c r="B12" s="14" t="s">
        <v>117</v>
      </c>
      <c r="C12" s="406">
        <v>630758</v>
      </c>
      <c r="D12" s="406">
        <v>407247</v>
      </c>
      <c r="E12" s="406">
        <f>SUM('- 57 -'!F12,'- 59 -'!G12,C12:D12)</f>
        <v>31559864</v>
      </c>
      <c r="G12" s="406">
        <v>10349398</v>
      </c>
    </row>
    <row r="13" spans="1:7" ht="12.75">
      <c r="A13" s="358">
        <v>3</v>
      </c>
      <c r="B13" s="12" t="s">
        <v>118</v>
      </c>
      <c r="C13" s="405">
        <v>659898</v>
      </c>
      <c r="D13" s="405">
        <v>154541</v>
      </c>
      <c r="E13" s="405">
        <f>SUM('- 57 -'!F13,'- 59 -'!G13,C13:D13)</f>
        <v>21721550</v>
      </c>
      <c r="G13" s="405">
        <v>7088288</v>
      </c>
    </row>
    <row r="14" spans="1:7" ht="12.75">
      <c r="A14" s="359">
        <v>4</v>
      </c>
      <c r="B14" s="14" t="s">
        <v>119</v>
      </c>
      <c r="C14" s="406">
        <v>1149310</v>
      </c>
      <c r="D14" s="406">
        <v>215929</v>
      </c>
      <c r="E14" s="406">
        <f>SUM('- 57 -'!F14,'- 59 -'!G14,C14:D14)</f>
        <v>22489143</v>
      </c>
      <c r="G14" s="406">
        <v>5606316</v>
      </c>
    </row>
    <row r="15" spans="1:7" ht="12.75">
      <c r="A15" s="358">
        <v>5</v>
      </c>
      <c r="B15" s="12" t="s">
        <v>120</v>
      </c>
      <c r="C15" s="405">
        <v>657752</v>
      </c>
      <c r="D15" s="405">
        <v>183868</v>
      </c>
      <c r="E15" s="405">
        <f>SUM('- 57 -'!F15,'- 59 -'!G15,C15:D15)</f>
        <v>23711877</v>
      </c>
      <c r="G15" s="405">
        <v>8086059</v>
      </c>
    </row>
    <row r="16" spans="1:7" ht="12.75">
      <c r="A16" s="359">
        <v>6</v>
      </c>
      <c r="B16" s="14" t="s">
        <v>121</v>
      </c>
      <c r="C16" s="406">
        <v>2542098</v>
      </c>
      <c r="D16" s="406">
        <v>239892</v>
      </c>
      <c r="E16" s="406">
        <f>SUM('- 57 -'!F16,'- 59 -'!G16,C16:D16)</f>
        <v>35330371</v>
      </c>
      <c r="G16" s="406">
        <v>6964754</v>
      </c>
    </row>
    <row r="17" spans="1:7" ht="12.75">
      <c r="A17" s="358">
        <v>9</v>
      </c>
      <c r="B17" s="12" t="s">
        <v>122</v>
      </c>
      <c r="C17" s="405">
        <v>3183279</v>
      </c>
      <c r="D17" s="405">
        <v>394198</v>
      </c>
      <c r="E17" s="405">
        <f>SUM('- 57 -'!F17,'- 59 -'!G17,C17:D17)</f>
        <v>50313196</v>
      </c>
      <c r="G17" s="405">
        <v>9221994</v>
      </c>
    </row>
    <row r="18" spans="1:7" ht="12.75">
      <c r="A18" s="359">
        <v>10</v>
      </c>
      <c r="B18" s="14" t="s">
        <v>123</v>
      </c>
      <c r="C18" s="406">
        <v>2910756</v>
      </c>
      <c r="D18" s="406">
        <v>224812</v>
      </c>
      <c r="E18" s="406">
        <f>SUM('- 57 -'!F18,'- 59 -'!G18,C18:D18)</f>
        <v>34950615</v>
      </c>
      <c r="G18" s="406">
        <v>6417437</v>
      </c>
    </row>
    <row r="19" spans="1:7" ht="12.75">
      <c r="A19" s="358">
        <v>11</v>
      </c>
      <c r="B19" s="12" t="s">
        <v>124</v>
      </c>
      <c r="C19" s="405">
        <v>679434</v>
      </c>
      <c r="D19" s="405">
        <v>207314</v>
      </c>
      <c r="E19" s="405">
        <f>SUM('- 57 -'!F19,'- 59 -'!G19,C19:D19)</f>
        <v>18724742</v>
      </c>
      <c r="G19" s="405">
        <v>4561282</v>
      </c>
    </row>
    <row r="20" spans="1:7" ht="12.75">
      <c r="A20" s="359">
        <v>12</v>
      </c>
      <c r="B20" s="14" t="s">
        <v>125</v>
      </c>
      <c r="C20" s="406">
        <v>1996045</v>
      </c>
      <c r="D20" s="406">
        <v>253088</v>
      </c>
      <c r="E20" s="406">
        <f>SUM('- 57 -'!F20,'- 59 -'!G20,C20:D20)</f>
        <v>30744768</v>
      </c>
      <c r="G20" s="406">
        <v>6449048</v>
      </c>
    </row>
    <row r="21" spans="1:7" ht="12.75">
      <c r="A21" s="358">
        <v>13</v>
      </c>
      <c r="B21" s="12" t="s">
        <v>126</v>
      </c>
      <c r="C21" s="405">
        <v>342464</v>
      </c>
      <c r="D21" s="405">
        <v>174447</v>
      </c>
      <c r="E21" s="405">
        <f>SUM('- 57 -'!F21,'- 59 -'!G21,C21:D21)</f>
        <v>10957971</v>
      </c>
      <c r="G21" s="405">
        <v>2736813</v>
      </c>
    </row>
    <row r="22" spans="1:7" ht="12.75">
      <c r="A22" s="359">
        <v>14</v>
      </c>
      <c r="B22" s="14" t="s">
        <v>127</v>
      </c>
      <c r="C22" s="406">
        <v>932530</v>
      </c>
      <c r="D22" s="406">
        <v>118640</v>
      </c>
      <c r="E22" s="406">
        <f>SUM('- 57 -'!F22,'- 59 -'!G22,C22:D22)</f>
        <v>15709644</v>
      </c>
      <c r="G22" s="406">
        <v>2428298</v>
      </c>
    </row>
    <row r="23" spans="1:7" ht="12.75">
      <c r="A23" s="358">
        <v>15</v>
      </c>
      <c r="B23" s="12" t="s">
        <v>128</v>
      </c>
      <c r="C23" s="405">
        <v>748370</v>
      </c>
      <c r="D23" s="405">
        <v>219096</v>
      </c>
      <c r="E23" s="405">
        <f>SUM('- 57 -'!F23,'- 59 -'!G23,C23:D23)</f>
        <v>23749233</v>
      </c>
      <c r="G23" s="405">
        <v>3609788</v>
      </c>
    </row>
    <row r="24" spans="1:7" ht="12.75">
      <c r="A24" s="359">
        <v>16</v>
      </c>
      <c r="B24" s="14" t="s">
        <v>129</v>
      </c>
      <c r="C24" s="406">
        <v>120863</v>
      </c>
      <c r="D24" s="406">
        <v>40105</v>
      </c>
      <c r="E24" s="406">
        <f>SUM('- 57 -'!F24,'- 59 -'!G24,C24:D24)</f>
        <v>3591994</v>
      </c>
      <c r="G24" s="406">
        <v>768200</v>
      </c>
    </row>
    <row r="25" spans="1:7" ht="12.75">
      <c r="A25" s="358">
        <v>17</v>
      </c>
      <c r="B25" s="12" t="s">
        <v>130</v>
      </c>
      <c r="C25" s="405">
        <v>140487</v>
      </c>
      <c r="D25" s="405">
        <v>32339.98</v>
      </c>
      <c r="E25" s="405">
        <f>SUM('- 57 -'!F25,'- 59 -'!G25,C25:D25)</f>
        <v>2545462.98</v>
      </c>
      <c r="G25" s="405">
        <v>577775</v>
      </c>
    </row>
    <row r="26" spans="1:7" ht="12.75">
      <c r="A26" s="359">
        <v>18</v>
      </c>
      <c r="B26" s="14" t="s">
        <v>131</v>
      </c>
      <c r="C26" s="406">
        <v>258111</v>
      </c>
      <c r="D26" s="406">
        <v>57400</v>
      </c>
      <c r="E26" s="406">
        <f>SUM('- 57 -'!F26,'- 59 -'!G26,C26:D26)</f>
        <v>5750203</v>
      </c>
      <c r="G26" s="406">
        <v>1114240</v>
      </c>
    </row>
    <row r="27" spans="1:7" ht="12.75">
      <c r="A27" s="358">
        <v>19</v>
      </c>
      <c r="B27" s="12" t="s">
        <v>132</v>
      </c>
      <c r="C27" s="405">
        <v>189432</v>
      </c>
      <c r="D27" s="405">
        <v>54249</v>
      </c>
      <c r="E27" s="405">
        <f>SUM('- 57 -'!F27,'- 59 -'!G27,C27:D27)</f>
        <v>8313074</v>
      </c>
      <c r="G27" s="405">
        <v>1715338</v>
      </c>
    </row>
    <row r="28" spans="1:7" ht="12.75">
      <c r="A28" s="359">
        <v>20</v>
      </c>
      <c r="B28" s="14" t="s">
        <v>133</v>
      </c>
      <c r="C28" s="406">
        <v>227250</v>
      </c>
      <c r="D28" s="406">
        <v>54108</v>
      </c>
      <c r="E28" s="406">
        <f>SUM('- 57 -'!F28,'- 59 -'!G28,C28:D28)</f>
        <v>4624917</v>
      </c>
      <c r="G28" s="406">
        <v>1076478</v>
      </c>
    </row>
    <row r="29" spans="1:7" ht="12.75">
      <c r="A29" s="358">
        <v>21</v>
      </c>
      <c r="B29" s="12" t="s">
        <v>134</v>
      </c>
      <c r="C29" s="405">
        <v>734342</v>
      </c>
      <c r="D29" s="405">
        <v>133494</v>
      </c>
      <c r="E29" s="405">
        <f>SUM('- 57 -'!F29,'- 59 -'!G29,C29:D29)</f>
        <v>14717164</v>
      </c>
      <c r="G29" s="405">
        <v>2821714</v>
      </c>
    </row>
    <row r="30" spans="1:7" ht="12.75">
      <c r="A30" s="359">
        <v>22</v>
      </c>
      <c r="B30" s="14" t="s">
        <v>135</v>
      </c>
      <c r="C30" s="406">
        <v>0</v>
      </c>
      <c r="D30" s="406">
        <v>77395</v>
      </c>
      <c r="E30" s="406">
        <f>SUM('- 57 -'!F30,'- 59 -'!G30,C30:D30)</f>
        <v>6592806</v>
      </c>
      <c r="G30" s="406">
        <v>2246420</v>
      </c>
    </row>
    <row r="31" spans="1:7" ht="12.75">
      <c r="A31" s="358">
        <v>23</v>
      </c>
      <c r="B31" s="12" t="s">
        <v>136</v>
      </c>
      <c r="C31" s="405">
        <v>317992</v>
      </c>
      <c r="D31" s="405">
        <v>78210</v>
      </c>
      <c r="E31" s="405">
        <f>SUM('- 57 -'!F31,'- 59 -'!G31,C31:D31)</f>
        <v>7191730</v>
      </c>
      <c r="G31" s="405">
        <v>894420</v>
      </c>
    </row>
    <row r="32" spans="1:7" ht="12.75">
      <c r="A32" s="359">
        <v>24</v>
      </c>
      <c r="B32" s="14" t="s">
        <v>137</v>
      </c>
      <c r="C32" s="406">
        <v>557340</v>
      </c>
      <c r="D32" s="406">
        <v>150315</v>
      </c>
      <c r="E32" s="406">
        <f>SUM('- 57 -'!F32,'- 59 -'!G32,C32:D32)</f>
        <v>14083455</v>
      </c>
      <c r="G32" s="406">
        <v>3157262</v>
      </c>
    </row>
    <row r="33" spans="1:7" ht="12.75">
      <c r="A33" s="358">
        <v>25</v>
      </c>
      <c r="B33" s="12" t="s">
        <v>138</v>
      </c>
      <c r="C33" s="405">
        <v>182702</v>
      </c>
      <c r="D33" s="405">
        <v>92964</v>
      </c>
      <c r="E33" s="405">
        <f>SUM('- 57 -'!F33,'- 59 -'!G33,C33:D33)</f>
        <v>6307523</v>
      </c>
      <c r="G33" s="405">
        <v>1496902</v>
      </c>
    </row>
    <row r="34" spans="1:7" ht="12.75">
      <c r="A34" s="359">
        <v>26</v>
      </c>
      <c r="B34" s="14" t="s">
        <v>139</v>
      </c>
      <c r="C34" s="406">
        <v>486900</v>
      </c>
      <c r="D34" s="406">
        <v>67275</v>
      </c>
      <c r="E34" s="406">
        <f>SUM('- 57 -'!F34,'- 59 -'!G34,C34:D34)</f>
        <v>11373330</v>
      </c>
      <c r="G34" s="406">
        <v>1835760</v>
      </c>
    </row>
    <row r="35" spans="1:7" ht="12.75">
      <c r="A35" s="358">
        <v>28</v>
      </c>
      <c r="B35" s="12" t="s">
        <v>140</v>
      </c>
      <c r="C35" s="405">
        <v>234590</v>
      </c>
      <c r="D35" s="405">
        <v>63869</v>
      </c>
      <c r="E35" s="405">
        <f>SUM('- 57 -'!F35,'- 59 -'!G35,C35:D35)</f>
        <v>4276511</v>
      </c>
      <c r="G35" s="405">
        <v>632128</v>
      </c>
    </row>
    <row r="36" spans="1:7" ht="12.75">
      <c r="A36" s="359">
        <v>30</v>
      </c>
      <c r="B36" s="14" t="s">
        <v>141</v>
      </c>
      <c r="C36" s="406">
        <v>272723</v>
      </c>
      <c r="D36" s="406">
        <v>74446</v>
      </c>
      <c r="E36" s="406">
        <f>SUM('- 57 -'!F36,'- 59 -'!G36,C36:D36)</f>
        <v>6278157</v>
      </c>
      <c r="G36" s="406">
        <v>1094998</v>
      </c>
    </row>
    <row r="37" spans="1:7" ht="12.75">
      <c r="A37" s="358">
        <v>31</v>
      </c>
      <c r="B37" s="12" t="s">
        <v>142</v>
      </c>
      <c r="C37" s="405">
        <v>234213</v>
      </c>
      <c r="D37" s="405">
        <v>85530</v>
      </c>
      <c r="E37" s="405">
        <f>SUM('- 57 -'!F37,'- 59 -'!G37,C37:D37)</f>
        <v>7030715</v>
      </c>
      <c r="G37" s="405">
        <v>1546460</v>
      </c>
    </row>
    <row r="38" spans="1:7" ht="12.75">
      <c r="A38" s="359">
        <v>32</v>
      </c>
      <c r="B38" s="14" t="s">
        <v>143</v>
      </c>
      <c r="C38" s="406">
        <v>241794</v>
      </c>
      <c r="D38" s="406">
        <v>62508</v>
      </c>
      <c r="E38" s="406">
        <f>SUM('- 57 -'!F38,'- 59 -'!G38,C38:D38)</f>
        <v>4679743</v>
      </c>
      <c r="G38" s="406">
        <v>615377</v>
      </c>
    </row>
    <row r="39" spans="1:7" ht="12.75">
      <c r="A39" s="358">
        <v>33</v>
      </c>
      <c r="B39" s="12" t="s">
        <v>144</v>
      </c>
      <c r="C39" s="405">
        <v>459859</v>
      </c>
      <c r="D39" s="405">
        <v>146337</v>
      </c>
      <c r="E39" s="405">
        <f>SUM('- 57 -'!F39,'- 59 -'!G39,C39:D39)</f>
        <v>8257851</v>
      </c>
      <c r="G39" s="405">
        <v>1362741</v>
      </c>
    </row>
    <row r="40" spans="1:7" ht="12.75">
      <c r="A40" s="359">
        <v>34</v>
      </c>
      <c r="B40" s="14" t="s">
        <v>145</v>
      </c>
      <c r="C40" s="406">
        <v>242136</v>
      </c>
      <c r="D40" s="406">
        <v>65985</v>
      </c>
      <c r="E40" s="406">
        <f>SUM('- 57 -'!F40,'- 59 -'!G40,C40:D40)</f>
        <v>4109855</v>
      </c>
      <c r="G40" s="406">
        <v>309920</v>
      </c>
    </row>
    <row r="41" spans="1:7" ht="12.75">
      <c r="A41" s="358">
        <v>35</v>
      </c>
      <c r="B41" s="12" t="s">
        <v>146</v>
      </c>
      <c r="C41" s="405">
        <v>492788</v>
      </c>
      <c r="D41" s="405">
        <v>109088</v>
      </c>
      <c r="E41" s="405">
        <f>SUM('- 57 -'!F41,'- 59 -'!G41,C41:D41)</f>
        <v>8863283</v>
      </c>
      <c r="G41" s="405">
        <v>1325458</v>
      </c>
    </row>
    <row r="42" spans="1:7" ht="12.75">
      <c r="A42" s="359">
        <v>36</v>
      </c>
      <c r="B42" s="14" t="s">
        <v>147</v>
      </c>
      <c r="C42" s="406">
        <v>189335</v>
      </c>
      <c r="D42" s="406">
        <v>58991</v>
      </c>
      <c r="E42" s="406">
        <f>SUM('- 57 -'!F42,'- 59 -'!G42,C42:D42)</f>
        <v>4520700</v>
      </c>
      <c r="G42" s="406">
        <v>962769</v>
      </c>
    </row>
    <row r="43" spans="1:7" ht="12.75">
      <c r="A43" s="358">
        <v>37</v>
      </c>
      <c r="B43" s="12" t="s">
        <v>148</v>
      </c>
      <c r="C43" s="405">
        <v>216565</v>
      </c>
      <c r="D43" s="405">
        <v>46648</v>
      </c>
      <c r="E43" s="405">
        <f>SUM('- 57 -'!F43,'- 59 -'!G43,C43:D43)</f>
        <v>4193961</v>
      </c>
      <c r="G43" s="405">
        <v>838059</v>
      </c>
    </row>
    <row r="44" spans="1:7" ht="12.75">
      <c r="A44" s="359">
        <v>38</v>
      </c>
      <c r="B44" s="14" t="s">
        <v>149</v>
      </c>
      <c r="C44" s="406">
        <v>197194</v>
      </c>
      <c r="D44" s="406">
        <v>66764</v>
      </c>
      <c r="E44" s="406">
        <f>SUM('- 57 -'!F44,'- 59 -'!G44,C44:D44)</f>
        <v>5244113</v>
      </c>
      <c r="G44" s="406">
        <v>1162659</v>
      </c>
    </row>
    <row r="45" spans="1:7" ht="12.75">
      <c r="A45" s="358">
        <v>39</v>
      </c>
      <c r="B45" s="12" t="s">
        <v>150</v>
      </c>
      <c r="C45" s="405">
        <v>416742</v>
      </c>
      <c r="D45" s="405">
        <v>104123</v>
      </c>
      <c r="E45" s="405">
        <f>SUM('- 57 -'!F45,'- 59 -'!G45,C45:D45)</f>
        <v>9454955</v>
      </c>
      <c r="G45" s="405">
        <v>1875093</v>
      </c>
    </row>
    <row r="46" spans="1:7" ht="12.75">
      <c r="A46" s="359">
        <v>40</v>
      </c>
      <c r="B46" s="14" t="s">
        <v>151</v>
      </c>
      <c r="C46" s="406">
        <v>908546</v>
      </c>
      <c r="D46" s="406">
        <v>253785</v>
      </c>
      <c r="E46" s="406">
        <f>SUM('- 57 -'!F46,'- 59 -'!G46,C46:D46)</f>
        <v>27005958</v>
      </c>
      <c r="G46" s="406">
        <v>7019783</v>
      </c>
    </row>
    <row r="47" spans="1:7" ht="12.75">
      <c r="A47" s="358">
        <v>41</v>
      </c>
      <c r="B47" s="12" t="s">
        <v>152</v>
      </c>
      <c r="C47" s="405">
        <v>148421</v>
      </c>
      <c r="D47" s="405">
        <v>79836</v>
      </c>
      <c r="E47" s="405">
        <f>SUM('- 57 -'!F47,'- 59 -'!G47,C47:D47)</f>
        <v>6709909</v>
      </c>
      <c r="G47" s="405">
        <v>1753061</v>
      </c>
    </row>
    <row r="48" spans="1:7" ht="12.75">
      <c r="A48" s="359">
        <v>42</v>
      </c>
      <c r="B48" s="14" t="s">
        <v>153</v>
      </c>
      <c r="C48" s="406">
        <v>202345</v>
      </c>
      <c r="D48" s="406">
        <v>56073</v>
      </c>
      <c r="E48" s="406">
        <f>SUM('- 57 -'!F48,'- 59 -'!G48,C48:D48)</f>
        <v>4766323</v>
      </c>
      <c r="G48" s="406">
        <v>1089087</v>
      </c>
    </row>
    <row r="49" spans="1:7" ht="12.75">
      <c r="A49" s="358">
        <v>43</v>
      </c>
      <c r="B49" s="12" t="s">
        <v>154</v>
      </c>
      <c r="C49" s="405">
        <v>33815</v>
      </c>
      <c r="D49" s="405">
        <v>70960</v>
      </c>
      <c r="E49" s="405">
        <f>SUM('- 57 -'!F49,'- 59 -'!G49,C49:D49)</f>
        <v>3359692</v>
      </c>
      <c r="G49" s="405">
        <v>1046134</v>
      </c>
    </row>
    <row r="50" spans="1:7" ht="12.75">
      <c r="A50" s="359">
        <v>44</v>
      </c>
      <c r="B50" s="14" t="s">
        <v>155</v>
      </c>
      <c r="C50" s="406">
        <v>338200</v>
      </c>
      <c r="D50" s="406">
        <v>45993</v>
      </c>
      <c r="E50" s="406">
        <f>SUM('- 57 -'!F50,'- 59 -'!G50,C50:D50)</f>
        <v>5530953</v>
      </c>
      <c r="G50" s="406">
        <v>1105830</v>
      </c>
    </row>
    <row r="51" spans="1:7" ht="12.75">
      <c r="A51" s="358">
        <v>45</v>
      </c>
      <c r="B51" s="12" t="s">
        <v>156</v>
      </c>
      <c r="C51" s="405">
        <v>487525</v>
      </c>
      <c r="D51" s="405">
        <v>81654</v>
      </c>
      <c r="E51" s="405">
        <f>SUM('- 57 -'!F51,'- 59 -'!G51,C51:D51)</f>
        <v>8685809</v>
      </c>
      <c r="G51" s="405">
        <v>974554</v>
      </c>
    </row>
    <row r="52" spans="1:7" ht="12.75">
      <c r="A52" s="359">
        <v>46</v>
      </c>
      <c r="B52" s="14" t="s">
        <v>157</v>
      </c>
      <c r="C52" s="406">
        <v>769763</v>
      </c>
      <c r="D52" s="406">
        <v>48223</v>
      </c>
      <c r="E52" s="406">
        <f>SUM('- 57 -'!F52,'- 59 -'!G52,C52:D52)</f>
        <v>6349891</v>
      </c>
      <c r="G52" s="406">
        <v>692723</v>
      </c>
    </row>
    <row r="53" spans="1:7" ht="12.75">
      <c r="A53" s="358">
        <v>47</v>
      </c>
      <c r="B53" s="12" t="s">
        <v>158</v>
      </c>
      <c r="C53" s="405">
        <v>349269</v>
      </c>
      <c r="D53" s="405">
        <v>40236</v>
      </c>
      <c r="E53" s="405">
        <f>SUM('- 57 -'!F53,'- 59 -'!G53,C53:D53)</f>
        <v>5773396</v>
      </c>
      <c r="G53" s="405">
        <v>1119295</v>
      </c>
    </row>
    <row r="54" spans="1:7" ht="12.75">
      <c r="A54" s="359">
        <v>48</v>
      </c>
      <c r="B54" s="14" t="s">
        <v>159</v>
      </c>
      <c r="C54" s="406">
        <v>2796338</v>
      </c>
      <c r="D54" s="406">
        <v>636109</v>
      </c>
      <c r="E54" s="406">
        <f>SUM('- 57 -'!F54,'- 59 -'!G54,C54:D54)</f>
        <v>20841706</v>
      </c>
      <c r="G54" s="406">
        <v>440044</v>
      </c>
    </row>
    <row r="55" spans="1:7" ht="12.75">
      <c r="A55" s="358">
        <v>49</v>
      </c>
      <c r="B55" s="12" t="s">
        <v>160</v>
      </c>
      <c r="C55" s="405">
        <v>897895</v>
      </c>
      <c r="D55" s="405">
        <v>142471</v>
      </c>
      <c r="E55" s="405">
        <f>SUM('- 57 -'!F55,'- 59 -'!G55,C55:D55)</f>
        <v>20193419</v>
      </c>
      <c r="G55" s="405">
        <v>3392661</v>
      </c>
    </row>
    <row r="56" spans="1:7" ht="12.75">
      <c r="A56" s="359">
        <v>50</v>
      </c>
      <c r="B56" s="14" t="s">
        <v>343</v>
      </c>
      <c r="C56" s="406">
        <v>416412</v>
      </c>
      <c r="D56" s="406">
        <v>125206</v>
      </c>
      <c r="E56" s="406">
        <f>SUM('- 57 -'!F56,'- 59 -'!G56,C56:D56)</f>
        <v>9023975</v>
      </c>
      <c r="G56" s="406">
        <v>1778128</v>
      </c>
    </row>
    <row r="57" spans="1:7" ht="12.75">
      <c r="A57" s="358">
        <v>2264</v>
      </c>
      <c r="B57" s="12" t="s">
        <v>161</v>
      </c>
      <c r="C57" s="405">
        <v>102880</v>
      </c>
      <c r="D57" s="405">
        <v>16599</v>
      </c>
      <c r="E57" s="405">
        <f>SUM('- 57 -'!F57,'- 59 -'!G57,C57:D57)</f>
        <v>1236995</v>
      </c>
      <c r="G57" s="405">
        <v>94838</v>
      </c>
    </row>
    <row r="58" spans="1:7" ht="12.75">
      <c r="A58" s="359">
        <v>2309</v>
      </c>
      <c r="B58" s="14" t="s">
        <v>162</v>
      </c>
      <c r="C58" s="406">
        <v>176624</v>
      </c>
      <c r="D58" s="406">
        <v>13263</v>
      </c>
      <c r="E58" s="406">
        <f>SUM('- 57 -'!F58,'- 59 -'!G58,C58:D58)</f>
        <v>1386430</v>
      </c>
      <c r="G58" s="406">
        <v>102134</v>
      </c>
    </row>
    <row r="59" spans="1:7" ht="12.75">
      <c r="A59" s="358">
        <v>2312</v>
      </c>
      <c r="B59" s="12" t="s">
        <v>163</v>
      </c>
      <c r="C59" s="405">
        <v>187115</v>
      </c>
      <c r="D59" s="405">
        <v>22391</v>
      </c>
      <c r="E59" s="405">
        <f>SUM('- 57 -'!F59,'- 59 -'!G59,C59:D59)</f>
        <v>1325822</v>
      </c>
      <c r="G59" s="405">
        <v>20182</v>
      </c>
    </row>
    <row r="60" spans="1:7" ht="12.75">
      <c r="A60" s="359">
        <v>2355</v>
      </c>
      <c r="B60" s="14" t="s">
        <v>164</v>
      </c>
      <c r="C60" s="406">
        <v>1774049</v>
      </c>
      <c r="D60" s="406">
        <v>90974</v>
      </c>
      <c r="E60" s="406">
        <f>SUM('- 57 -'!F60,'- 59 -'!G60,C60:D60)</f>
        <v>15755962</v>
      </c>
      <c r="G60" s="406">
        <v>1760332</v>
      </c>
    </row>
    <row r="61" spans="1:7" ht="12.75">
      <c r="A61" s="358">
        <v>2439</v>
      </c>
      <c r="B61" s="12" t="s">
        <v>165</v>
      </c>
      <c r="C61" s="405">
        <v>26187</v>
      </c>
      <c r="D61" s="405">
        <v>10438</v>
      </c>
      <c r="E61" s="405">
        <f>SUM('- 57 -'!F61,'- 59 -'!G61,C61:D61)</f>
        <v>944144.14</v>
      </c>
      <c r="G61" s="405">
        <v>87877</v>
      </c>
    </row>
    <row r="62" spans="1:7" ht="12.75">
      <c r="A62" s="359">
        <v>2460</v>
      </c>
      <c r="B62" s="14" t="s">
        <v>166</v>
      </c>
      <c r="C62" s="406">
        <v>263060</v>
      </c>
      <c r="D62" s="406">
        <v>14684</v>
      </c>
      <c r="E62" s="406">
        <f>SUM('- 57 -'!F62,'- 59 -'!G62,C62:D62)</f>
        <v>1792019</v>
      </c>
      <c r="G62" s="406">
        <v>126463</v>
      </c>
    </row>
    <row r="63" spans="1:7" ht="12.75">
      <c r="A63" s="358">
        <v>3000</v>
      </c>
      <c r="B63" s="12" t="s">
        <v>366</v>
      </c>
      <c r="C63" s="405">
        <v>0</v>
      </c>
      <c r="D63" s="405">
        <v>118152</v>
      </c>
      <c r="E63" s="405">
        <f>SUM('- 57 -'!F63,'- 59 -'!G63,C63:D63)</f>
        <v>661152</v>
      </c>
      <c r="G63" s="405">
        <v>0</v>
      </c>
    </row>
    <row r="64" spans="3:7" ht="4.5" customHeight="1">
      <c r="C64" s="412"/>
      <c r="D64" s="412"/>
      <c r="E64" s="412"/>
      <c r="G64" s="412"/>
    </row>
    <row r="65" spans="1:7" ht="12.75">
      <c r="A65" s="99"/>
      <c r="B65" s="18" t="s">
        <v>167</v>
      </c>
      <c r="C65" s="407">
        <f>SUM(C11:C63)</f>
        <v>41582906</v>
      </c>
      <c r="D65" s="407">
        <f>SUM(D11:D63)</f>
        <v>7579521.98</v>
      </c>
      <c r="E65" s="407">
        <f>SUM(E11:E63)</f>
        <v>741390595.12</v>
      </c>
      <c r="G65" s="407">
        <f>SUM(G11:G63)</f>
        <v>152540860</v>
      </c>
    </row>
    <row r="66" spans="3:7" ht="4.5" customHeight="1">
      <c r="C66" s="412"/>
      <c r="D66" s="412"/>
      <c r="E66" s="412"/>
      <c r="G66" s="412"/>
    </row>
    <row r="67" spans="1:7" ht="12.75">
      <c r="A67" s="96">
        <v>2155</v>
      </c>
      <c r="B67" s="97" t="s">
        <v>168</v>
      </c>
      <c r="C67" s="406">
        <v>0</v>
      </c>
      <c r="D67" s="406">
        <v>1700</v>
      </c>
      <c r="E67" s="406">
        <f>SUM('- 57 -'!F67,'- 59 -'!G67,C67:D67)</f>
        <v>242931</v>
      </c>
      <c r="F67" s="77"/>
      <c r="G67" s="406"/>
    </row>
    <row r="68" spans="1:7" ht="12.75">
      <c r="A68" s="94">
        <v>2408</v>
      </c>
      <c r="B68" s="95" t="s">
        <v>170</v>
      </c>
      <c r="C68" s="405">
        <v>0</v>
      </c>
      <c r="D68" s="405">
        <v>108</v>
      </c>
      <c r="E68" s="405">
        <f>SUM('- 57 -'!F68,'- 59 -'!G68,C68:D68)</f>
        <v>435678</v>
      </c>
      <c r="G68" s="405"/>
    </row>
    <row r="69" spans="3:7" ht="6.75" customHeight="1">
      <c r="C69" s="15"/>
      <c r="D69" s="15"/>
      <c r="E69" s="15"/>
      <c r="G69" s="15"/>
    </row>
    <row r="70" spans="1:7" ht="12" customHeight="1">
      <c r="A70" s="380" t="s">
        <v>354</v>
      </c>
      <c r="B70" s="267" t="s">
        <v>380</v>
      </c>
      <c r="C70" s="120"/>
      <c r="D70" s="120"/>
      <c r="E70" s="120"/>
      <c r="F70" s="121"/>
      <c r="G70" s="120"/>
    </row>
    <row r="71" spans="1:7" ht="12" customHeight="1">
      <c r="A71" s="380" t="s">
        <v>355</v>
      </c>
      <c r="B71" s="267" t="s">
        <v>448</v>
      </c>
      <c r="C71" s="120"/>
      <c r="D71" s="120"/>
      <c r="E71" s="120"/>
      <c r="F71" s="121"/>
      <c r="G71" s="120"/>
    </row>
    <row r="72" spans="2:7" ht="12" customHeight="1">
      <c r="B72" s="79" t="s">
        <v>449</v>
      </c>
      <c r="C72" s="120"/>
      <c r="D72" s="120"/>
      <c r="E72" s="120"/>
      <c r="F72" s="121"/>
      <c r="G72" s="120"/>
    </row>
    <row r="73" spans="1:7" ht="12" customHeight="1">
      <c r="A73" s="380" t="s">
        <v>356</v>
      </c>
      <c r="B73" s="317" t="str">
        <f>"THE "&amp;REPLACE(REPLACE('- 3 -'!A3,1,22,""),5,5,"")&amp;" PRORATED SCHOOL ASSESSMENT MULTIPLIED BY 7.42 MILLS ADJUSTED FOR MINING REVENUE (USED IN THE CALCULATION OF"</f>
        <v>THE 2001 PRORATED SCHOOL ASSESSMENT MULTIPLIED BY 7.42 MILLS ADJUSTED FOR MINING REVENUE (USED IN THE CALCULATION OF</v>
      </c>
      <c r="C73" s="120"/>
      <c r="D73" s="120"/>
      <c r="E73" s="120"/>
      <c r="F73" s="121"/>
      <c r="G73" s="120"/>
    </row>
    <row r="74" spans="1:7" ht="12" customHeight="1">
      <c r="A74" s="4"/>
      <c r="B74" s="350" t="s">
        <v>350</v>
      </c>
      <c r="C74" s="120"/>
      <c r="D74" s="120"/>
      <c r="E74" s="120"/>
      <c r="F74" s="121"/>
      <c r="G74" s="120"/>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52.xml><?xml version="1.0" encoding="utf-8"?>
<worksheet xmlns="http://schemas.openxmlformats.org/spreadsheetml/2006/main" xmlns:r="http://schemas.openxmlformats.org/officeDocument/2006/relationships">
  <sheetPr codeName="Sheet61">
    <pageSetUpPr fitToPage="1"/>
  </sheetPr>
  <dimension ref="A1:J74"/>
  <sheetViews>
    <sheetView showGridLines="0" showZeros="0" workbookViewId="0" topLeftCell="A1">
      <selection activeCell="A1" sqref="A1"/>
    </sheetView>
  </sheetViews>
  <sheetFormatPr defaultColWidth="19.83203125" defaultRowHeight="12"/>
  <cols>
    <col min="1" max="1" width="6.83203125" style="79" customWidth="1"/>
    <col min="2" max="2" width="30.83203125" style="79" customWidth="1"/>
    <col min="3" max="10" width="12.83203125" style="79" customWidth="1"/>
    <col min="11" max="16384" width="19.83203125" style="79" customWidth="1"/>
  </cols>
  <sheetData>
    <row r="1" spans="2:9" ht="6.75" customHeight="1">
      <c r="B1" s="77"/>
      <c r="C1" s="77"/>
      <c r="D1" s="139"/>
      <c r="E1" s="139"/>
      <c r="F1" s="139"/>
      <c r="G1" s="139"/>
      <c r="H1" s="139"/>
      <c r="I1" s="139"/>
    </row>
    <row r="2" spans="1:10" ht="12.75" customHeight="1">
      <c r="A2" s="196"/>
      <c r="B2" s="196" t="s">
        <v>367</v>
      </c>
      <c r="C2" s="196"/>
      <c r="D2" s="196"/>
      <c r="E2" s="196"/>
      <c r="F2" s="196"/>
      <c r="G2" s="196"/>
      <c r="H2" s="196"/>
      <c r="I2" s="196"/>
      <c r="J2" s="196"/>
    </row>
    <row r="3" spans="1:10" ht="12.75" customHeight="1">
      <c r="A3" s="269"/>
      <c r="B3" s="269" t="str">
        <f>C9&amp;" AND "&amp;D9&amp;" ACTUAL"</f>
        <v>2000/01 AND 2001/02 ACTUAL</v>
      </c>
      <c r="C3" s="269"/>
      <c r="D3" s="199"/>
      <c r="E3" s="199"/>
      <c r="F3" s="199"/>
      <c r="G3" s="199"/>
      <c r="H3" s="199"/>
      <c r="I3" s="199"/>
      <c r="J3" s="199"/>
    </row>
    <row r="4" spans="1:9" ht="12.75" customHeight="1">
      <c r="A4" s="8"/>
      <c r="D4" s="139"/>
      <c r="E4" s="139"/>
      <c r="F4" s="139"/>
      <c r="G4" s="139"/>
      <c r="H4" s="139"/>
      <c r="I4" s="139"/>
    </row>
    <row r="5" spans="1:9" ht="12.75" customHeight="1">
      <c r="A5" s="8"/>
      <c r="D5" s="139"/>
      <c r="E5" s="139"/>
      <c r="F5" s="139"/>
      <c r="G5" s="139"/>
      <c r="H5" s="139"/>
      <c r="I5" s="139"/>
    </row>
    <row r="6" spans="1:10" ht="15.75" customHeight="1">
      <c r="A6" s="8"/>
      <c r="C6" s="396" t="s">
        <v>193</v>
      </c>
      <c r="D6" s="397"/>
      <c r="E6" s="398"/>
      <c r="F6" s="399"/>
      <c r="G6" s="396" t="s">
        <v>201</v>
      </c>
      <c r="H6" s="397"/>
      <c r="I6" s="398"/>
      <c r="J6" s="399"/>
    </row>
    <row r="7" spans="3:10" ht="15.75" customHeight="1">
      <c r="C7" s="400" t="s">
        <v>353</v>
      </c>
      <c r="D7" s="401"/>
      <c r="E7" s="400" t="s">
        <v>480</v>
      </c>
      <c r="F7" s="401"/>
      <c r="G7" s="400" t="s">
        <v>365</v>
      </c>
      <c r="H7" s="401"/>
      <c r="I7" s="400" t="s">
        <v>245</v>
      </c>
      <c r="J7" s="401"/>
    </row>
    <row r="8" spans="1:10" ht="16.5" customHeight="1">
      <c r="A8" s="91"/>
      <c r="B8" s="43"/>
      <c r="C8" s="402" t="s">
        <v>420</v>
      </c>
      <c r="D8" s="403"/>
      <c r="E8" s="402" t="s">
        <v>510</v>
      </c>
      <c r="F8" s="403"/>
      <c r="G8" s="402" t="s">
        <v>105</v>
      </c>
      <c r="H8" s="403"/>
      <c r="I8" s="402" t="s">
        <v>209</v>
      </c>
      <c r="J8" s="403"/>
    </row>
    <row r="9" spans="1:10" ht="16.5" customHeight="1">
      <c r="A9" s="49" t="s">
        <v>101</v>
      </c>
      <c r="B9" s="50" t="s">
        <v>102</v>
      </c>
      <c r="C9" s="404" t="s">
        <v>481</v>
      </c>
      <c r="D9" s="404" t="s">
        <v>482</v>
      </c>
      <c r="E9" s="404" t="s">
        <v>481</v>
      </c>
      <c r="F9" s="404" t="s">
        <v>509</v>
      </c>
      <c r="G9" s="404" t="s">
        <v>513</v>
      </c>
      <c r="H9" s="404" t="s">
        <v>515</v>
      </c>
      <c r="I9" s="404" t="s">
        <v>513</v>
      </c>
      <c r="J9" s="404" t="s">
        <v>514</v>
      </c>
    </row>
    <row r="10" spans="1:10" ht="4.5" customHeight="1">
      <c r="A10" s="74"/>
      <c r="B10" s="74"/>
      <c r="C10" s="74"/>
      <c r="F10" s="379"/>
      <c r="G10" s="379"/>
      <c r="H10" s="145"/>
      <c r="I10" s="145"/>
      <c r="J10" s="161"/>
    </row>
    <row r="11" spans="1:10" ht="12.75">
      <c r="A11" s="11">
        <v>1</v>
      </c>
      <c r="B11" s="12" t="s">
        <v>116</v>
      </c>
      <c r="C11" s="405">
        <v>7334</v>
      </c>
      <c r="D11" s="405">
        <f>'- 4 -'!F11</f>
        <v>7664</v>
      </c>
      <c r="E11" s="339">
        <v>14.688013884161226</v>
      </c>
      <c r="F11" s="339">
        <f>'- 9 -'!D11</f>
        <v>14.433908315365144</v>
      </c>
      <c r="G11" s="408">
        <v>123087</v>
      </c>
      <c r="H11" s="408">
        <f>'- 55 -'!G11</f>
        <v>122725</v>
      </c>
      <c r="I11" s="339">
        <v>26.931673787819175</v>
      </c>
      <c r="J11" s="339">
        <f>'- 53 -'!H11</f>
        <v>27.281659848160675</v>
      </c>
    </row>
    <row r="12" spans="1:10" ht="12.75">
      <c r="A12" s="13">
        <v>2</v>
      </c>
      <c r="B12" s="14" t="s">
        <v>117</v>
      </c>
      <c r="C12" s="406">
        <v>6314</v>
      </c>
      <c r="D12" s="406">
        <f>'- 4 -'!F12</f>
        <v>6518</v>
      </c>
      <c r="E12" s="340">
        <v>15.2204589004078</v>
      </c>
      <c r="F12" s="340">
        <f>'- 9 -'!D12</f>
        <v>15.20401476849388</v>
      </c>
      <c r="G12" s="409">
        <v>157765</v>
      </c>
      <c r="H12" s="409">
        <f>'- 55 -'!G12</f>
        <v>158372</v>
      </c>
      <c r="I12" s="340">
        <v>16.51560524257611</v>
      </c>
      <c r="J12" s="340">
        <f>'- 53 -'!H12</f>
        <v>17.253955822418643</v>
      </c>
    </row>
    <row r="13" spans="1:10" ht="12.75">
      <c r="A13" s="11">
        <v>3</v>
      </c>
      <c r="B13" s="12" t="s">
        <v>118</v>
      </c>
      <c r="C13" s="405">
        <v>6865</v>
      </c>
      <c r="D13" s="405">
        <f>'- 4 -'!F13</f>
        <v>7151</v>
      </c>
      <c r="E13" s="339">
        <v>14.905292437000197</v>
      </c>
      <c r="F13" s="339">
        <f>'- 9 -'!D13</f>
        <v>14.71357112334414</v>
      </c>
      <c r="G13" s="408">
        <v>146534</v>
      </c>
      <c r="H13" s="408">
        <f>'- 55 -'!G13</f>
        <v>155267</v>
      </c>
      <c r="I13" s="339">
        <v>21.840452947327353</v>
      </c>
      <c r="J13" s="339">
        <f>'- 53 -'!H13</f>
        <v>22.472314874716208</v>
      </c>
    </row>
    <row r="14" spans="1:10" ht="12.75">
      <c r="A14" s="13">
        <v>4</v>
      </c>
      <c r="B14" s="14" t="s">
        <v>119</v>
      </c>
      <c r="C14" s="406">
        <v>6618</v>
      </c>
      <c r="D14" s="406">
        <f>'- 4 -'!F14</f>
        <v>6998</v>
      </c>
      <c r="E14" s="340">
        <v>15.084168182633425</v>
      </c>
      <c r="F14" s="340">
        <f>'- 9 -'!D14</f>
        <v>14.73896783844428</v>
      </c>
      <c r="G14" s="409">
        <v>127783</v>
      </c>
      <c r="H14" s="409">
        <f>'- 55 -'!G14</f>
        <v>129514</v>
      </c>
      <c r="I14" s="340"/>
      <c r="J14" s="340">
        <f>'- 53 -'!H14</f>
        <v>22.45382995548423</v>
      </c>
    </row>
    <row r="15" spans="1:10" ht="12.75">
      <c r="A15" s="11">
        <v>5</v>
      </c>
      <c r="B15" s="12" t="s">
        <v>120</v>
      </c>
      <c r="C15" s="405">
        <v>6630</v>
      </c>
      <c r="D15" s="405">
        <f>'- 4 -'!F15</f>
        <v>6963</v>
      </c>
      <c r="E15" s="339">
        <v>14.908620036215101</v>
      </c>
      <c r="F15" s="339">
        <f>'- 9 -'!D15</f>
        <v>14.993868346116276</v>
      </c>
      <c r="G15" s="408">
        <v>154762</v>
      </c>
      <c r="H15" s="408">
        <f>'- 55 -'!G15</f>
        <v>155995</v>
      </c>
      <c r="I15" s="339">
        <v>21.26424130879844</v>
      </c>
      <c r="J15" s="339">
        <f>'- 53 -'!H15</f>
        <v>22.711591168483256</v>
      </c>
    </row>
    <row r="16" spans="1:10" ht="12.75">
      <c r="A16" s="13">
        <v>6</v>
      </c>
      <c r="B16" s="14" t="s">
        <v>121</v>
      </c>
      <c r="C16" s="406">
        <v>6372</v>
      </c>
      <c r="D16" s="406">
        <f>'- 4 -'!F16</f>
        <v>6564</v>
      </c>
      <c r="E16" s="340">
        <v>15.348150993469986</v>
      </c>
      <c r="F16" s="340">
        <f>'- 9 -'!D16</f>
        <v>15.277584527619315</v>
      </c>
      <c r="G16" s="409">
        <v>103393</v>
      </c>
      <c r="H16" s="409">
        <f>'- 55 -'!G16</f>
        <v>105262</v>
      </c>
      <c r="I16" s="340">
        <v>20.95939521081449</v>
      </c>
      <c r="J16" s="340">
        <f>'- 53 -'!H16</f>
        <v>22.20710383759123</v>
      </c>
    </row>
    <row r="17" spans="1:10" ht="12.75">
      <c r="A17" s="11">
        <v>9</v>
      </c>
      <c r="B17" s="12" t="s">
        <v>122</v>
      </c>
      <c r="C17" s="405">
        <v>6048</v>
      </c>
      <c r="D17" s="405">
        <f>'- 4 -'!F17</f>
        <v>6446</v>
      </c>
      <c r="E17" s="339">
        <v>15.65317848410758</v>
      </c>
      <c r="F17" s="339">
        <f>'- 9 -'!D17</f>
        <v>15.170256534365924</v>
      </c>
      <c r="G17" s="408">
        <v>99128</v>
      </c>
      <c r="H17" s="408">
        <f>'- 55 -'!G17</f>
        <v>102069</v>
      </c>
      <c r="I17" s="339">
        <v>20.41494318192489</v>
      </c>
      <c r="J17" s="339">
        <f>'- 53 -'!H17</f>
        <v>22.024736002958992</v>
      </c>
    </row>
    <row r="18" spans="1:10" ht="12.75">
      <c r="A18" s="13">
        <v>10</v>
      </c>
      <c r="B18" s="14" t="s">
        <v>123</v>
      </c>
      <c r="C18" s="406">
        <v>6626</v>
      </c>
      <c r="D18" s="406">
        <f>'- 4 -'!F18</f>
        <v>6977</v>
      </c>
      <c r="E18" s="340">
        <v>15.461423180398317</v>
      </c>
      <c r="F18" s="340">
        <f>'- 9 -'!D18</f>
        <v>15.468860037198217</v>
      </c>
      <c r="G18" s="409">
        <v>99757</v>
      </c>
      <c r="H18" s="409">
        <f>'- 55 -'!G18</f>
        <v>100750</v>
      </c>
      <c r="I18" s="340">
        <v>25.390661935146596</v>
      </c>
      <c r="J18" s="340">
        <f>'- 53 -'!H18</f>
        <v>26.8315002829092</v>
      </c>
    </row>
    <row r="19" spans="1:10" ht="12.75">
      <c r="A19" s="11">
        <v>11</v>
      </c>
      <c r="B19" s="12" t="s">
        <v>124</v>
      </c>
      <c r="C19" s="405">
        <v>6499</v>
      </c>
      <c r="D19" s="405">
        <f>'- 4 -'!F19</f>
        <v>6722</v>
      </c>
      <c r="E19" s="339">
        <v>15.344513187886681</v>
      </c>
      <c r="F19" s="339">
        <f>'- 9 -'!D19</f>
        <v>15.0775379696243</v>
      </c>
      <c r="G19" s="408">
        <v>131358</v>
      </c>
      <c r="H19" s="408">
        <f>'- 55 -'!G19</f>
        <v>135105</v>
      </c>
      <c r="I19" s="339">
        <v>17.37142365079297</v>
      </c>
      <c r="J19" s="339">
        <f>'- 53 -'!H19</f>
        <v>18.924380266180478</v>
      </c>
    </row>
    <row r="20" spans="1:10" ht="12.75">
      <c r="A20" s="13">
        <v>12</v>
      </c>
      <c r="B20" s="14" t="s">
        <v>125</v>
      </c>
      <c r="C20" s="406">
        <v>6158</v>
      </c>
      <c r="D20" s="406">
        <f>'- 4 -'!F20</f>
        <v>6603</v>
      </c>
      <c r="E20" s="340">
        <v>15.89282190915907</v>
      </c>
      <c r="F20" s="340">
        <f>'- 9 -'!D20</f>
        <v>15.375575164830789</v>
      </c>
      <c r="G20" s="409">
        <v>105310</v>
      </c>
      <c r="H20" s="409">
        <f>'- 55 -'!G20</f>
        <v>110227</v>
      </c>
      <c r="I20" s="340">
        <v>20.691120842813348</v>
      </c>
      <c r="J20" s="340">
        <f>'- 53 -'!H20</f>
        <v>21.886103449707335</v>
      </c>
    </row>
    <row r="21" spans="1:10" ht="12.75">
      <c r="A21" s="11">
        <v>13</v>
      </c>
      <c r="B21" s="12" t="s">
        <v>126</v>
      </c>
      <c r="C21" s="405">
        <v>5688</v>
      </c>
      <c r="D21" s="405">
        <f>'- 4 -'!F21</f>
        <v>7018</v>
      </c>
      <c r="E21" s="339">
        <v>16.40949260252209</v>
      </c>
      <c r="F21" s="339">
        <f>'- 9 -'!D21</f>
        <v>14.268487888165618</v>
      </c>
      <c r="G21" s="408">
        <v>134548</v>
      </c>
      <c r="H21" s="408">
        <f>'- 55 -'!G21</f>
        <v>138558</v>
      </c>
      <c r="I21" s="339">
        <v>17.890065082449787</v>
      </c>
      <c r="J21" s="339">
        <f>'- 53 -'!H21</f>
        <v>20.060236653403877</v>
      </c>
    </row>
    <row r="22" spans="1:10" ht="12.75">
      <c r="A22" s="13">
        <v>14</v>
      </c>
      <c r="B22" s="14" t="s">
        <v>127</v>
      </c>
      <c r="C22" s="406">
        <v>6133</v>
      </c>
      <c r="D22" s="406">
        <f>'- 4 -'!F22</f>
        <v>6448</v>
      </c>
      <c r="E22" s="340">
        <v>16.79328749338847</v>
      </c>
      <c r="F22" s="340">
        <f>'- 9 -'!D22</f>
        <v>16.553656354475677</v>
      </c>
      <c r="G22" s="409">
        <v>81664</v>
      </c>
      <c r="H22" s="409">
        <f>'- 55 -'!G22</f>
        <v>85266</v>
      </c>
      <c r="I22" s="340">
        <v>20.968604970128045</v>
      </c>
      <c r="J22" s="340">
        <f>'- 53 -'!H22</f>
        <v>22.00617755089844</v>
      </c>
    </row>
    <row r="23" spans="1:10" ht="12.75">
      <c r="A23" s="11">
        <v>15</v>
      </c>
      <c r="B23" s="12" t="s">
        <v>128</v>
      </c>
      <c r="C23" s="405">
        <v>5121</v>
      </c>
      <c r="D23" s="405">
        <f>'- 4 -'!F23</f>
        <v>5313</v>
      </c>
      <c r="E23" s="339">
        <v>17.882856882461947</v>
      </c>
      <c r="F23" s="339">
        <f>'- 9 -'!D23</f>
        <v>17.714336377338416</v>
      </c>
      <c r="G23" s="408">
        <v>84311</v>
      </c>
      <c r="H23" s="408">
        <f>'- 55 -'!G23</f>
        <v>85370</v>
      </c>
      <c r="I23" s="339">
        <v>13.200000559206543</v>
      </c>
      <c r="J23" s="339">
        <f>'- 53 -'!H23</f>
        <v>14.69999906763004</v>
      </c>
    </row>
    <row r="24" spans="1:10" ht="12.75">
      <c r="A24" s="13">
        <v>16</v>
      </c>
      <c r="B24" s="14" t="s">
        <v>129</v>
      </c>
      <c r="C24" s="406">
        <v>7122</v>
      </c>
      <c r="D24" s="406">
        <f>'- 4 -'!F24</f>
        <v>7281</v>
      </c>
      <c r="E24" s="340">
        <v>14.718414227491664</v>
      </c>
      <c r="F24" s="340">
        <f>'- 9 -'!D24</f>
        <v>15.014285714285716</v>
      </c>
      <c r="G24" s="409">
        <v>123058</v>
      </c>
      <c r="H24" s="409">
        <f>'- 55 -'!G24</f>
        <v>134719</v>
      </c>
      <c r="I24" s="340">
        <v>19.278846554249625</v>
      </c>
      <c r="J24" s="340">
        <f>'- 53 -'!H24</f>
        <v>20.026214367640197</v>
      </c>
    </row>
    <row r="25" spans="1:10" ht="12.75">
      <c r="A25" s="11">
        <v>17</v>
      </c>
      <c r="B25" s="12" t="s">
        <v>130</v>
      </c>
      <c r="C25" s="405">
        <v>7330</v>
      </c>
      <c r="D25" s="405">
        <f>'- 4 -'!F25</f>
        <v>8509</v>
      </c>
      <c r="E25" s="339">
        <v>14.111635220125784</v>
      </c>
      <c r="F25" s="339">
        <f>'- 9 -'!D25</f>
        <v>12.548212908202622</v>
      </c>
      <c r="G25" s="408">
        <v>110274</v>
      </c>
      <c r="H25" s="408">
        <f>'- 55 -'!G25</f>
        <v>112906</v>
      </c>
      <c r="I25" s="339">
        <v>18.731949185100795</v>
      </c>
      <c r="J25" s="339">
        <f>'- 53 -'!H25</f>
        <v>19.114792914647804</v>
      </c>
    </row>
    <row r="26" spans="1:10" ht="12.75">
      <c r="A26" s="13">
        <v>18</v>
      </c>
      <c r="B26" s="14" t="s">
        <v>131</v>
      </c>
      <c r="C26" s="406">
        <v>6168</v>
      </c>
      <c r="D26" s="406">
        <f>'- 4 -'!F26</f>
        <v>6307</v>
      </c>
      <c r="E26" s="340">
        <v>15.676336202316438</v>
      </c>
      <c r="F26" s="340">
        <f>'- 9 -'!D26</f>
        <v>15.570732740364253</v>
      </c>
      <c r="G26" s="409">
        <v>107360</v>
      </c>
      <c r="H26" s="409">
        <f>'- 55 -'!G26</f>
        <v>114100</v>
      </c>
      <c r="I26" s="340">
        <v>16.864464112199</v>
      </c>
      <c r="J26" s="340">
        <f>'- 53 -'!H26</f>
        <v>18.945566357895</v>
      </c>
    </row>
    <row r="27" spans="1:10" ht="12.75">
      <c r="A27" s="11">
        <v>19</v>
      </c>
      <c r="B27" s="12" t="s">
        <v>132</v>
      </c>
      <c r="C27" s="405">
        <v>3913</v>
      </c>
      <c r="D27" s="405">
        <f>'- 4 -'!F27</f>
        <v>6866</v>
      </c>
      <c r="E27" s="339">
        <v>28.84042449615422</v>
      </c>
      <c r="F27" s="339">
        <f>'- 9 -'!D27</f>
        <v>16.203138622493462</v>
      </c>
      <c r="G27" s="408">
        <v>143712</v>
      </c>
      <c r="H27" s="408">
        <f>'- 55 -'!G27</f>
        <v>145033</v>
      </c>
      <c r="I27" s="339">
        <v>15.695632109327441</v>
      </c>
      <c r="J27" s="339">
        <f>'- 53 -'!H27</f>
        <v>16.28577927854078</v>
      </c>
    </row>
    <row r="28" spans="1:10" ht="12.75">
      <c r="A28" s="13">
        <v>20</v>
      </c>
      <c r="B28" s="14" t="s">
        <v>133</v>
      </c>
      <c r="C28" s="406">
        <v>7207</v>
      </c>
      <c r="D28" s="406">
        <f>'- 4 -'!F28</f>
        <v>7901</v>
      </c>
      <c r="E28" s="340">
        <v>13.596966413867824</v>
      </c>
      <c r="F28" s="340">
        <f>'- 9 -'!D28</f>
        <v>13.260627952208946</v>
      </c>
      <c r="G28" s="409">
        <v>126908</v>
      </c>
      <c r="H28" s="409">
        <f>'- 55 -'!G28</f>
        <v>128275</v>
      </c>
      <c r="I28" s="340">
        <v>21.195897789886317</v>
      </c>
      <c r="J28" s="340">
        <f>'- 53 -'!H28</f>
        <v>21.81924975433812</v>
      </c>
    </row>
    <row r="29" spans="1:10" ht="12.75">
      <c r="A29" s="11">
        <v>21</v>
      </c>
      <c r="B29" s="12" t="s">
        <v>134</v>
      </c>
      <c r="C29" s="405">
        <v>6092</v>
      </c>
      <c r="D29" s="405">
        <f>'- 4 -'!F29</f>
        <v>6404</v>
      </c>
      <c r="E29" s="339">
        <v>15.962699096973271</v>
      </c>
      <c r="F29" s="339">
        <f>'- 9 -'!D29</f>
        <v>15.319196428571429</v>
      </c>
      <c r="G29" s="408">
        <v>106590</v>
      </c>
      <c r="H29" s="408">
        <f>'- 55 -'!G29</f>
        <v>109224</v>
      </c>
      <c r="I29" s="339">
        <v>18.504197629195254</v>
      </c>
      <c r="J29" s="339">
        <f>'- 53 -'!H29</f>
        <v>20.000793089560325</v>
      </c>
    </row>
    <row r="30" spans="1:10" ht="12.75">
      <c r="A30" s="13">
        <v>22</v>
      </c>
      <c r="B30" s="14" t="s">
        <v>135</v>
      </c>
      <c r="C30" s="406">
        <v>6530</v>
      </c>
      <c r="D30" s="406">
        <f>'- 4 -'!F30</f>
        <v>6521</v>
      </c>
      <c r="E30" s="340">
        <v>16.81585801099643</v>
      </c>
      <c r="F30" s="340">
        <f>'- 9 -'!D30</f>
        <v>17.302038416307333</v>
      </c>
      <c r="G30" s="409">
        <v>167892</v>
      </c>
      <c r="H30" s="409">
        <f>'- 55 -'!G30</f>
        <v>177214</v>
      </c>
      <c r="I30" s="340">
        <v>15.583517374029782</v>
      </c>
      <c r="J30" s="340">
        <f>'- 53 -'!H30</f>
        <v>16.5884024042644</v>
      </c>
    </row>
    <row r="31" spans="1:10" ht="12.75">
      <c r="A31" s="11">
        <v>23</v>
      </c>
      <c r="B31" s="12" t="s">
        <v>136</v>
      </c>
      <c r="C31" s="405">
        <v>6767</v>
      </c>
      <c r="D31" s="405">
        <f>'- 4 -'!F31</f>
        <v>6967</v>
      </c>
      <c r="E31" s="339">
        <v>15.656894679695984</v>
      </c>
      <c r="F31" s="339">
        <f>'- 9 -'!D31</f>
        <v>15.194420963651735</v>
      </c>
      <c r="G31" s="408">
        <v>88522</v>
      </c>
      <c r="H31" s="408">
        <f>'- 55 -'!G31</f>
        <v>89350</v>
      </c>
      <c r="I31" s="339">
        <v>19.9819601392074</v>
      </c>
      <c r="J31" s="339">
        <f>'- 53 -'!H31</f>
        <v>21.01963974485529</v>
      </c>
    </row>
    <row r="32" spans="1:10" ht="12.75">
      <c r="A32" s="13">
        <v>24</v>
      </c>
      <c r="B32" s="14" t="s">
        <v>137</v>
      </c>
      <c r="C32" s="406">
        <v>6027</v>
      </c>
      <c r="D32" s="406">
        <f>'- 4 -'!F32</f>
        <v>6292</v>
      </c>
      <c r="E32" s="340">
        <v>15.47521619911411</v>
      </c>
      <c r="F32" s="340">
        <f>'- 9 -'!D32</f>
        <v>15.3472788969546</v>
      </c>
      <c r="G32" s="409">
        <v>116184</v>
      </c>
      <c r="H32" s="409">
        <f>'- 55 -'!G32</f>
        <v>122823</v>
      </c>
      <c r="I32" s="340">
        <v>17.582841915918653</v>
      </c>
      <c r="J32" s="340">
        <f>'- 53 -'!H32</f>
        <v>18.047833753921733</v>
      </c>
    </row>
    <row r="33" spans="1:10" ht="12.75">
      <c r="A33" s="11">
        <v>25</v>
      </c>
      <c r="B33" s="12" t="s">
        <v>138</v>
      </c>
      <c r="C33" s="405">
        <v>6149</v>
      </c>
      <c r="D33" s="405">
        <f>'- 4 -'!F33</f>
        <v>6917</v>
      </c>
      <c r="E33" s="339">
        <v>16.020286396181383</v>
      </c>
      <c r="F33" s="339">
        <f>'- 9 -'!D33</f>
        <v>15.313811922753986</v>
      </c>
      <c r="G33" s="408">
        <v>130917</v>
      </c>
      <c r="H33" s="408">
        <f>'- 55 -'!G33</f>
        <v>137023</v>
      </c>
      <c r="I33" s="339">
        <v>17.179958118815737</v>
      </c>
      <c r="J33" s="339">
        <f>'- 53 -'!H33</f>
        <v>17.985139888227835</v>
      </c>
    </row>
    <row r="34" spans="1:10" ht="12.75">
      <c r="A34" s="13">
        <v>26</v>
      </c>
      <c r="B34" s="14" t="s">
        <v>139</v>
      </c>
      <c r="C34" s="406">
        <v>5536</v>
      </c>
      <c r="D34" s="406">
        <f>'- 4 -'!F34</f>
        <v>5656</v>
      </c>
      <c r="E34" s="340">
        <v>16.207383023747944</v>
      </c>
      <c r="F34" s="340">
        <f>'- 9 -'!D34</f>
        <v>16.438855160450995</v>
      </c>
      <c r="G34" s="409">
        <v>90706</v>
      </c>
      <c r="H34" s="409">
        <f>'- 55 -'!G34</f>
        <v>90952</v>
      </c>
      <c r="I34" s="340">
        <v>16.1338134236327</v>
      </c>
      <c r="J34" s="340">
        <f>'- 53 -'!H34</f>
        <v>16.751749142101882</v>
      </c>
    </row>
    <row r="35" spans="1:10" ht="12.75">
      <c r="A35" s="11">
        <v>28</v>
      </c>
      <c r="B35" s="12" t="s">
        <v>140</v>
      </c>
      <c r="C35" s="405">
        <v>6848</v>
      </c>
      <c r="D35" s="405">
        <f>'- 4 -'!F35</f>
        <v>7224</v>
      </c>
      <c r="E35" s="339">
        <v>13.802221874511032</v>
      </c>
      <c r="F35" s="339">
        <f>'- 9 -'!D35</f>
        <v>14.203384367445608</v>
      </c>
      <c r="G35" s="408">
        <v>96006</v>
      </c>
      <c r="H35" s="408">
        <f>'- 55 -'!G35</f>
        <v>98092</v>
      </c>
      <c r="I35" s="339">
        <v>20.358187422784347</v>
      </c>
      <c r="J35" s="339">
        <f>'- 53 -'!H35</f>
        <v>20.633267263191428</v>
      </c>
    </row>
    <row r="36" spans="1:10" ht="12.75">
      <c r="A36" s="13">
        <v>30</v>
      </c>
      <c r="B36" s="14" t="s">
        <v>141</v>
      </c>
      <c r="C36" s="406">
        <v>6500</v>
      </c>
      <c r="D36" s="406">
        <f>'- 4 -'!F36</f>
        <v>7094</v>
      </c>
      <c r="E36" s="340">
        <v>15.477844857045222</v>
      </c>
      <c r="F36" s="340">
        <f>'- 9 -'!D36</f>
        <v>14.586508292245629</v>
      </c>
      <c r="G36" s="409">
        <v>108700</v>
      </c>
      <c r="H36" s="409">
        <f>'- 55 -'!G36</f>
        <v>109582</v>
      </c>
      <c r="I36" s="340">
        <v>18.757406594037054</v>
      </c>
      <c r="J36" s="340">
        <f>'- 53 -'!H36</f>
        <v>20.550006769493397</v>
      </c>
    </row>
    <row r="37" spans="1:10" ht="12.75">
      <c r="A37" s="11">
        <v>31</v>
      </c>
      <c r="B37" s="12" t="s">
        <v>142</v>
      </c>
      <c r="C37" s="405">
        <v>6151</v>
      </c>
      <c r="D37" s="405">
        <f>'- 4 -'!F37</f>
        <v>6515</v>
      </c>
      <c r="E37" s="339">
        <v>15.753297417796768</v>
      </c>
      <c r="F37" s="339">
        <f>'- 9 -'!D37</f>
        <v>15.565192797209392</v>
      </c>
      <c r="G37" s="408">
        <v>123028</v>
      </c>
      <c r="H37" s="408">
        <f>'- 55 -'!G37</f>
        <v>125213</v>
      </c>
      <c r="I37" s="339">
        <v>16.215037959686256</v>
      </c>
      <c r="J37" s="339">
        <f>'- 53 -'!H37</f>
        <v>16.989044070290948</v>
      </c>
    </row>
    <row r="38" spans="1:10" ht="12.75">
      <c r="A38" s="13">
        <v>32</v>
      </c>
      <c r="B38" s="14" t="s">
        <v>143</v>
      </c>
      <c r="C38" s="406">
        <v>7293</v>
      </c>
      <c r="D38" s="406">
        <f>'- 4 -'!F38</f>
        <v>7652</v>
      </c>
      <c r="E38" s="340">
        <v>14.438001023366878</v>
      </c>
      <c r="F38" s="340">
        <f>'- 9 -'!D38</f>
        <v>13.960929605927923</v>
      </c>
      <c r="G38" s="409">
        <v>91197</v>
      </c>
      <c r="H38" s="409">
        <f>'- 55 -'!G38</f>
        <v>94948</v>
      </c>
      <c r="I38" s="340">
        <v>20.970652068652512</v>
      </c>
      <c r="J38" s="340">
        <f>'- 53 -'!H38</f>
        <v>21.074527706552875</v>
      </c>
    </row>
    <row r="39" spans="1:10" ht="12.75">
      <c r="A39" s="11">
        <v>33</v>
      </c>
      <c r="B39" s="12" t="s">
        <v>144</v>
      </c>
      <c r="C39" s="405">
        <v>6518</v>
      </c>
      <c r="D39" s="405">
        <f>'- 4 -'!F39</f>
        <v>6797</v>
      </c>
      <c r="E39" s="339">
        <v>15.735537190082646</v>
      </c>
      <c r="F39" s="339">
        <f>'- 9 -'!D39</f>
        <v>16.018518518518515</v>
      </c>
      <c r="G39" s="408">
        <v>100361</v>
      </c>
      <c r="H39" s="408">
        <f>'- 55 -'!G39</f>
        <v>101267</v>
      </c>
      <c r="I39" s="339">
        <v>19.338025778479107</v>
      </c>
      <c r="J39" s="339">
        <f>'- 53 -'!H39</f>
        <v>21.044121470506962</v>
      </c>
    </row>
    <row r="40" spans="1:10" ht="12.75">
      <c r="A40" s="13">
        <v>34</v>
      </c>
      <c r="B40" s="14" t="s">
        <v>145</v>
      </c>
      <c r="C40" s="406">
        <v>7511</v>
      </c>
      <c r="D40" s="406">
        <f>'- 4 -'!F40</f>
        <v>7890</v>
      </c>
      <c r="E40" s="340">
        <v>12.863397548161121</v>
      </c>
      <c r="F40" s="340">
        <f>'- 9 -'!D40</f>
        <v>12.837127845884414</v>
      </c>
      <c r="G40" s="409">
        <v>61254</v>
      </c>
      <c r="H40" s="409">
        <f>'- 55 -'!G40</f>
        <v>62434</v>
      </c>
      <c r="I40" s="340">
        <v>24.918510793268457</v>
      </c>
      <c r="J40" s="340">
        <f>'- 53 -'!H40</f>
        <v>24.941151402262964</v>
      </c>
    </row>
    <row r="41" spans="1:10" ht="12.75">
      <c r="A41" s="11">
        <v>35</v>
      </c>
      <c r="B41" s="12" t="s">
        <v>146</v>
      </c>
      <c r="C41" s="405">
        <v>6846</v>
      </c>
      <c r="D41" s="405">
        <f>'- 4 -'!F41</f>
        <v>7208</v>
      </c>
      <c r="E41" s="339">
        <v>15.483193277310926</v>
      </c>
      <c r="F41" s="339">
        <f>'- 9 -'!D41</f>
        <v>15.437329481624138</v>
      </c>
      <c r="G41" s="408">
        <v>95917</v>
      </c>
      <c r="H41" s="408">
        <f>'- 55 -'!G41</f>
        <v>98807</v>
      </c>
      <c r="I41" s="339">
        <v>20.623789504806552</v>
      </c>
      <c r="J41" s="339">
        <f>'- 53 -'!H41</f>
        <v>22.176678243462025</v>
      </c>
    </row>
    <row r="42" spans="1:10" ht="12.75">
      <c r="A42" s="13">
        <v>36</v>
      </c>
      <c r="B42" s="14" t="s">
        <v>147</v>
      </c>
      <c r="C42" s="406">
        <v>6451</v>
      </c>
      <c r="D42" s="406">
        <f>'- 4 -'!F42</f>
        <v>7924</v>
      </c>
      <c r="E42" s="340">
        <v>15.393728222996515</v>
      </c>
      <c r="F42" s="340">
        <f>'- 9 -'!D42</f>
        <v>13.834019204389577</v>
      </c>
      <c r="G42" s="409">
        <v>116007</v>
      </c>
      <c r="H42" s="409">
        <f>'- 55 -'!G42</f>
        <v>119533</v>
      </c>
      <c r="I42" s="340">
        <v>18.78411326397657</v>
      </c>
      <c r="J42" s="340">
        <f>'- 53 -'!H42</f>
        <v>19.779996194313807</v>
      </c>
    </row>
    <row r="43" spans="1:10" ht="12.75">
      <c r="A43" s="11">
        <v>37</v>
      </c>
      <c r="B43" s="12" t="s">
        <v>148</v>
      </c>
      <c r="C43" s="405">
        <v>6890</v>
      </c>
      <c r="D43" s="405">
        <f>'- 4 -'!F43</f>
        <v>7131</v>
      </c>
      <c r="E43" s="339">
        <v>15.254752851711027</v>
      </c>
      <c r="F43" s="339">
        <f>'- 9 -'!D43</f>
        <v>15.310015898251192</v>
      </c>
      <c r="G43" s="408">
        <v>114327</v>
      </c>
      <c r="H43" s="408">
        <f>'- 55 -'!G43</f>
        <v>118840</v>
      </c>
      <c r="I43" s="339">
        <v>19.999848910288208</v>
      </c>
      <c r="J43" s="339">
        <f>'- 53 -'!H43</f>
        <v>20.50484665324078</v>
      </c>
    </row>
    <row r="44" spans="1:10" ht="12.75">
      <c r="A44" s="13">
        <v>38</v>
      </c>
      <c r="B44" s="14" t="s">
        <v>149</v>
      </c>
      <c r="C44" s="406">
        <v>7134</v>
      </c>
      <c r="D44" s="406">
        <f>'- 4 -'!F44</f>
        <v>7649</v>
      </c>
      <c r="E44" s="340">
        <v>14.271788990825685</v>
      </c>
      <c r="F44" s="340">
        <f>'- 9 -'!D44</f>
        <v>13.949599904454795</v>
      </c>
      <c r="G44" s="409">
        <v>130170</v>
      </c>
      <c r="H44" s="409">
        <f>'- 55 -'!G44</f>
        <v>136088</v>
      </c>
      <c r="I44" s="340">
        <v>19.213088529555044</v>
      </c>
      <c r="J44" s="340">
        <f>'- 53 -'!H44</f>
        <v>20.18006914637662</v>
      </c>
    </row>
    <row r="45" spans="1:10" ht="12.75">
      <c r="A45" s="11">
        <v>39</v>
      </c>
      <c r="B45" s="12" t="s">
        <v>150</v>
      </c>
      <c r="C45" s="405">
        <v>6587</v>
      </c>
      <c r="D45" s="405">
        <f>'- 4 -'!F45</f>
        <v>6992</v>
      </c>
      <c r="E45" s="339">
        <v>14.418471337579616</v>
      </c>
      <c r="F45" s="339">
        <f>'- 9 -'!D45</f>
        <v>14.428639488191658</v>
      </c>
      <c r="G45" s="408">
        <v>114265</v>
      </c>
      <c r="H45" s="408">
        <f>'- 55 -'!G45</f>
        <v>120452</v>
      </c>
      <c r="I45" s="339">
        <v>18.21738179129477</v>
      </c>
      <c r="J45" s="339">
        <f>'- 53 -'!H45</f>
        <v>18.903335388538917</v>
      </c>
    </row>
    <row r="46" spans="1:10" ht="12.75">
      <c r="A46" s="13">
        <v>40</v>
      </c>
      <c r="B46" s="14" t="s">
        <v>151</v>
      </c>
      <c r="C46" s="406">
        <v>5666</v>
      </c>
      <c r="D46" s="406">
        <f>'- 4 -'!F46</f>
        <v>6046</v>
      </c>
      <c r="E46" s="340">
        <v>16.031712695579124</v>
      </c>
      <c r="F46" s="340">
        <f>'- 9 -'!D46</f>
        <v>15.597471022128556</v>
      </c>
      <c r="G46" s="409">
        <v>125904</v>
      </c>
      <c r="H46" s="409">
        <f>'- 55 -'!G46</f>
        <v>129599</v>
      </c>
      <c r="I46" s="340">
        <v>15.506313864250535</v>
      </c>
      <c r="J46" s="340">
        <f>'- 53 -'!H46</f>
        <v>16.830285368388864</v>
      </c>
    </row>
    <row r="47" spans="1:10" ht="12.75">
      <c r="A47" s="11">
        <v>41</v>
      </c>
      <c r="B47" s="12" t="s">
        <v>152</v>
      </c>
      <c r="C47" s="405">
        <v>7069</v>
      </c>
      <c r="D47" s="405">
        <f>'- 4 -'!F47</f>
        <v>7323</v>
      </c>
      <c r="E47" s="339">
        <v>13.87865017251536</v>
      </c>
      <c r="F47" s="339">
        <f>'- 9 -'!D47</f>
        <v>13.545774359813468</v>
      </c>
      <c r="G47" s="408">
        <v>145436</v>
      </c>
      <c r="H47" s="408">
        <f>'- 55 -'!G47</f>
        <v>151586</v>
      </c>
      <c r="I47" s="339">
        <v>19.063998775941688</v>
      </c>
      <c r="J47" s="339">
        <f>'- 53 -'!H47</f>
        <v>19.42639183518712</v>
      </c>
    </row>
    <row r="48" spans="1:10" ht="12.75">
      <c r="A48" s="13">
        <v>42</v>
      </c>
      <c r="B48" s="14" t="s">
        <v>153</v>
      </c>
      <c r="C48" s="406">
        <v>7133</v>
      </c>
      <c r="D48" s="406">
        <f>'- 4 -'!F48</f>
        <v>7308</v>
      </c>
      <c r="E48" s="340">
        <v>14.883120413155748</v>
      </c>
      <c r="F48" s="340">
        <f>'- 9 -'!D48</f>
        <v>14.895715896279595</v>
      </c>
      <c r="G48" s="409">
        <v>127882</v>
      </c>
      <c r="H48" s="409">
        <f>'- 55 -'!G48</f>
        <v>132423</v>
      </c>
      <c r="I48" s="340">
        <v>20.20199448264684</v>
      </c>
      <c r="J48" s="340">
        <f>'- 53 -'!H48</f>
        <v>21.213204693017396</v>
      </c>
    </row>
    <row r="49" spans="1:10" ht="12.75">
      <c r="A49" s="11">
        <v>43</v>
      </c>
      <c r="B49" s="12" t="s">
        <v>154</v>
      </c>
      <c r="C49" s="405">
        <v>7322</v>
      </c>
      <c r="D49" s="405">
        <f>'- 4 -'!F49</f>
        <v>8111</v>
      </c>
      <c r="E49" s="339">
        <v>13.51063829787234</v>
      </c>
      <c r="F49" s="339">
        <f>'- 9 -'!D49</f>
        <v>13.217317487266554</v>
      </c>
      <c r="G49" s="408">
        <v>156380</v>
      </c>
      <c r="H49" s="408">
        <f>'- 55 -'!G49</f>
        <v>166653</v>
      </c>
      <c r="I49" s="339">
        <v>18.957113960706256</v>
      </c>
      <c r="J49" s="339">
        <f>'- 53 -'!H49</f>
        <v>18.968461235108702</v>
      </c>
    </row>
    <row r="50" spans="1:10" ht="12.75">
      <c r="A50" s="13">
        <v>44</v>
      </c>
      <c r="B50" s="14" t="s">
        <v>155</v>
      </c>
      <c r="C50" s="406">
        <v>6491</v>
      </c>
      <c r="D50" s="406">
        <f>'- 4 -'!F50</f>
        <v>7151</v>
      </c>
      <c r="E50" s="340">
        <v>15.242675994752949</v>
      </c>
      <c r="F50" s="340">
        <f>'- 9 -'!D50</f>
        <v>13.648337174843594</v>
      </c>
      <c r="G50" s="409">
        <v>109162</v>
      </c>
      <c r="H50" s="409">
        <f>'- 55 -'!G50</f>
        <v>116342</v>
      </c>
      <c r="I50" s="340">
        <v>22.39567365364221</v>
      </c>
      <c r="J50" s="340">
        <f>'- 53 -'!H50</f>
        <v>22.703014331860132</v>
      </c>
    </row>
    <row r="51" spans="1:10" ht="12.75">
      <c r="A51" s="11">
        <v>45</v>
      </c>
      <c r="B51" s="12" t="s">
        <v>156</v>
      </c>
      <c r="C51" s="405">
        <v>6398</v>
      </c>
      <c r="D51" s="405">
        <f>'- 4 -'!F51</f>
        <v>6389</v>
      </c>
      <c r="E51" s="339">
        <v>16.077280294401124</v>
      </c>
      <c r="F51" s="339">
        <f>'- 9 -'!D51</f>
        <v>16.556239015817223</v>
      </c>
      <c r="G51" s="408">
        <v>76325</v>
      </c>
      <c r="H51" s="408">
        <f>'- 55 -'!G51</f>
        <v>77607</v>
      </c>
      <c r="I51" s="339">
        <v>20.173105729019124</v>
      </c>
      <c r="J51" s="339">
        <f>'- 53 -'!H51</f>
        <v>21.412563539518246</v>
      </c>
    </row>
    <row r="52" spans="1:10" ht="12.75">
      <c r="A52" s="13">
        <v>46</v>
      </c>
      <c r="B52" s="14" t="s">
        <v>157</v>
      </c>
      <c r="C52" s="406">
        <v>7574</v>
      </c>
      <c r="D52" s="406">
        <f>'- 4 -'!F52</f>
        <v>7607</v>
      </c>
      <c r="E52" s="340">
        <v>14.423896204492642</v>
      </c>
      <c r="F52" s="340">
        <f>'- 9 -'!D52</f>
        <v>14.558898004659172</v>
      </c>
      <c r="G52" s="409">
        <v>74920</v>
      </c>
      <c r="H52" s="409">
        <f>'- 55 -'!G52</f>
        <v>72532</v>
      </c>
      <c r="I52" s="340">
        <v>21.629083567259467</v>
      </c>
      <c r="J52" s="340">
        <f>'- 53 -'!H52</f>
        <v>21.73471862952026</v>
      </c>
    </row>
    <row r="53" spans="1:10" ht="12.75">
      <c r="A53" s="11">
        <v>47</v>
      </c>
      <c r="B53" s="12" t="s">
        <v>158</v>
      </c>
      <c r="C53" s="405">
        <v>5894</v>
      </c>
      <c r="D53" s="405">
        <f>'- 4 -'!F53</f>
        <v>6231</v>
      </c>
      <c r="E53" s="339">
        <v>17.01244813278008</v>
      </c>
      <c r="F53" s="339">
        <f>'- 9 -'!D53</f>
        <v>16.506904028300813</v>
      </c>
      <c r="G53" s="408">
        <v>102463</v>
      </c>
      <c r="H53" s="408">
        <f>'- 55 -'!G53</f>
        <v>103342</v>
      </c>
      <c r="I53" s="339">
        <v>19.015751718531018</v>
      </c>
      <c r="J53" s="339">
        <f>'- 53 -'!H53</f>
        <v>19.419577305259043</v>
      </c>
    </row>
    <row r="54" spans="1:10" ht="12.75">
      <c r="A54" s="13">
        <v>48</v>
      </c>
      <c r="B54" s="14" t="s">
        <v>159</v>
      </c>
      <c r="C54" s="406">
        <v>10922</v>
      </c>
      <c r="D54" s="406">
        <f>'- 4 -'!F54</f>
        <v>11234</v>
      </c>
      <c r="E54" s="340">
        <v>11.812901744719925</v>
      </c>
      <c r="F54" s="340">
        <f>'- 9 -'!D54</f>
        <v>12.564774311397393</v>
      </c>
      <c r="G54" s="409">
        <v>21428</v>
      </c>
      <c r="H54" s="409">
        <f>'- 55 -'!G54</f>
        <v>23117</v>
      </c>
      <c r="I54" s="340">
        <v>20.200001589542033</v>
      </c>
      <c r="J54" s="340">
        <f>'- 53 -'!H54</f>
        <v>20.886163247342978</v>
      </c>
    </row>
    <row r="55" spans="1:10" ht="12.75">
      <c r="A55" s="11">
        <v>49</v>
      </c>
      <c r="B55" s="12" t="s">
        <v>160</v>
      </c>
      <c r="C55" s="405">
        <v>7845</v>
      </c>
      <c r="D55" s="405">
        <f>'- 4 -'!F55</f>
        <v>8464</v>
      </c>
      <c r="E55" s="339">
        <v>13.284716642976331</v>
      </c>
      <c r="F55" s="339">
        <f>'- 9 -'!D55</f>
        <v>12.776395094305679</v>
      </c>
      <c r="G55" s="408">
        <v>106916</v>
      </c>
      <c r="H55" s="408">
        <f>'- 55 -'!G55</f>
        <v>109473</v>
      </c>
      <c r="I55" s="339">
        <v>0</v>
      </c>
      <c r="J55" s="339"/>
    </row>
    <row r="56" spans="1:10" ht="12.75">
      <c r="A56" s="13">
        <v>50</v>
      </c>
      <c r="B56" s="14" t="s">
        <v>343</v>
      </c>
      <c r="C56" s="406">
        <v>7633</v>
      </c>
      <c r="D56" s="406">
        <f>'- 4 -'!F56</f>
        <v>8176</v>
      </c>
      <c r="E56" s="340">
        <v>14.313269811759241</v>
      </c>
      <c r="F56" s="340">
        <f>'- 9 -'!D56</f>
        <v>14.73741428332497</v>
      </c>
      <c r="G56" s="409">
        <v>124865</v>
      </c>
      <c r="H56" s="409">
        <f>'- 55 -'!G56</f>
        <v>129317</v>
      </c>
      <c r="I56" s="340">
        <v>21.651525344652704</v>
      </c>
      <c r="J56" s="340">
        <f>'- 53 -'!H56</f>
        <v>21.882186051017857</v>
      </c>
    </row>
    <row r="57" spans="1:10" ht="12.75">
      <c r="A57" s="11">
        <v>2264</v>
      </c>
      <c r="B57" s="12" t="s">
        <v>161</v>
      </c>
      <c r="C57" s="405">
        <v>9081</v>
      </c>
      <c r="D57" s="405">
        <f>'- 4 -'!F57</f>
        <v>10714</v>
      </c>
      <c r="E57" s="339">
        <v>13.335654596100278</v>
      </c>
      <c r="F57" s="339">
        <f>'- 9 -'!D57</f>
        <v>12.80130293159609</v>
      </c>
      <c r="G57" s="408">
        <v>63125</v>
      </c>
      <c r="H57" s="408">
        <f>'- 55 -'!G57</f>
        <v>66397</v>
      </c>
      <c r="I57" s="339">
        <v>37.370019390160444</v>
      </c>
      <c r="J57" s="339">
        <f>'- 53 -'!H57</f>
        <v>36.91276743067047</v>
      </c>
    </row>
    <row r="58" spans="1:10" ht="12.75">
      <c r="A58" s="13">
        <v>2309</v>
      </c>
      <c r="B58" s="14" t="s">
        <v>162</v>
      </c>
      <c r="C58" s="406">
        <v>7937</v>
      </c>
      <c r="D58" s="406">
        <f>'- 4 -'!F58</f>
        <v>8689</v>
      </c>
      <c r="E58" s="340">
        <v>13.090909090909092</v>
      </c>
      <c r="F58" s="340">
        <f>'- 9 -'!D58</f>
        <v>14.687323943661971</v>
      </c>
      <c r="G58" s="409">
        <v>53587</v>
      </c>
      <c r="H58" s="409">
        <f>'- 55 -'!G58</f>
        <v>54894</v>
      </c>
      <c r="I58" s="340">
        <v>30.467736298041242</v>
      </c>
      <c r="J58" s="340">
        <f>'- 53 -'!H58</f>
        <v>30.400059710404538</v>
      </c>
    </row>
    <row r="59" spans="1:10" ht="12.75">
      <c r="A59" s="11">
        <v>2312</v>
      </c>
      <c r="B59" s="12" t="s">
        <v>163</v>
      </c>
      <c r="C59" s="405">
        <v>9667</v>
      </c>
      <c r="D59" s="405">
        <f>'- 4 -'!F59</f>
        <v>11540</v>
      </c>
      <c r="E59" s="339">
        <v>10.25</v>
      </c>
      <c r="F59" s="339">
        <f>'- 9 -'!D59</f>
        <v>10.875</v>
      </c>
      <c r="G59" s="408">
        <v>12570</v>
      </c>
      <c r="H59" s="408">
        <f>'- 55 -'!G59</f>
        <v>14742</v>
      </c>
      <c r="I59" s="339">
        <v>36.74700787488379</v>
      </c>
      <c r="J59" s="339">
        <f>'- 53 -'!H59</f>
        <v>36.76578722903614</v>
      </c>
    </row>
    <row r="60" spans="1:10" ht="12.75">
      <c r="A60" s="13">
        <v>2355</v>
      </c>
      <c r="B60" s="14" t="s">
        <v>164</v>
      </c>
      <c r="C60" s="406">
        <v>6762</v>
      </c>
      <c r="D60" s="406">
        <f>'- 4 -'!F60</f>
        <v>7487</v>
      </c>
      <c r="E60" s="340">
        <v>15.169965576592082</v>
      </c>
      <c r="F60" s="340">
        <f>'- 9 -'!D60</f>
        <v>14.242281303602057</v>
      </c>
      <c r="G60" s="409">
        <v>75787</v>
      </c>
      <c r="H60" s="409">
        <f>'- 55 -'!G60</f>
        <v>72509</v>
      </c>
      <c r="I60" s="340">
        <v>28.710552088977632</v>
      </c>
      <c r="J60" s="340">
        <f>'- 53 -'!H60</f>
        <v>30.166544264683008</v>
      </c>
    </row>
    <row r="61" spans="1:10" ht="12.75">
      <c r="A61" s="11">
        <v>2439</v>
      </c>
      <c r="B61" s="12" t="s">
        <v>165</v>
      </c>
      <c r="C61" s="408">
        <v>7982</v>
      </c>
      <c r="D61" s="408">
        <f>'- 4 -'!F61</f>
        <v>8477</v>
      </c>
      <c r="E61" s="339">
        <v>15.14851485148515</v>
      </c>
      <c r="F61" s="339">
        <f>'- 9 -'!D61</f>
        <v>14.292237442922373</v>
      </c>
      <c r="G61" s="408">
        <v>84525</v>
      </c>
      <c r="H61" s="408">
        <f>'- 55 -'!G61</f>
        <v>85203</v>
      </c>
      <c r="I61" s="339">
        <v>18.24037418270145</v>
      </c>
      <c r="J61" s="339">
        <f>'- 53 -'!H61</f>
        <v>18.09941569845988</v>
      </c>
    </row>
    <row r="62" spans="1:10" ht="12.75">
      <c r="A62" s="13">
        <v>2460</v>
      </c>
      <c r="B62" s="14" t="s">
        <v>166</v>
      </c>
      <c r="C62" s="409">
        <v>9048</v>
      </c>
      <c r="D62" s="409">
        <f>'- 4 -'!F62</f>
        <v>12121</v>
      </c>
      <c r="E62" s="340">
        <v>12.149019607843139</v>
      </c>
      <c r="F62" s="340">
        <f>'- 9 -'!D62</f>
        <v>10.08148148148148</v>
      </c>
      <c r="G62" s="409">
        <v>57202</v>
      </c>
      <c r="H62" s="409">
        <f>'- 55 -'!G62</f>
        <v>56623</v>
      </c>
      <c r="I62" s="340">
        <v>50.596415805151054</v>
      </c>
      <c r="J62" s="340">
        <f>'- 53 -'!H62</f>
        <v>51.52934508439253</v>
      </c>
    </row>
    <row r="63" spans="1:10" ht="4.5" customHeight="1">
      <c r="A63" s="15"/>
      <c r="B63" s="15"/>
      <c r="C63" s="410"/>
      <c r="D63" s="410"/>
      <c r="E63" s="341"/>
      <c r="F63" s="341"/>
      <c r="G63" s="410"/>
      <c r="H63" s="410"/>
      <c r="I63" s="341"/>
      <c r="J63" s="341"/>
    </row>
    <row r="64" spans="1:10" ht="12.75">
      <c r="A64" s="17"/>
      <c r="B64" s="18" t="s">
        <v>167</v>
      </c>
      <c r="C64" s="411">
        <v>6612</v>
      </c>
      <c r="D64" s="411">
        <f>'- 4 -'!F65</f>
        <v>7071</v>
      </c>
      <c r="E64" s="342">
        <v>15.37497281987591</v>
      </c>
      <c r="F64" s="342">
        <f>'- 9 -'!D65</f>
        <v>14.919782235372189</v>
      </c>
      <c r="G64" s="411">
        <v>114376</v>
      </c>
      <c r="H64" s="411">
        <f>'- 55 -'!G65</f>
        <v>116960</v>
      </c>
      <c r="I64" s="342">
        <v>20.94408179648646</v>
      </c>
      <c r="J64" s="342">
        <f>'- 53 -'!H65</f>
        <v>21.897592211425103</v>
      </c>
    </row>
    <row r="65" spans="1:10" ht="4.5" customHeight="1">
      <c r="A65" s="15"/>
      <c r="B65" s="15"/>
      <c r="C65" s="341"/>
      <c r="D65" s="15"/>
      <c r="E65" s="341"/>
      <c r="F65" s="341"/>
      <c r="G65" s="341"/>
      <c r="H65" s="15"/>
      <c r="I65" s="15"/>
      <c r="J65" s="341"/>
    </row>
    <row r="66" spans="1:10" ht="12.75">
      <c r="A66" s="13">
        <v>2155</v>
      </c>
      <c r="B66" s="14" t="s">
        <v>168</v>
      </c>
      <c r="C66" s="409">
        <v>8210</v>
      </c>
      <c r="D66" s="14">
        <f>'- 4 -'!F67</f>
        <v>8153</v>
      </c>
      <c r="E66" s="340">
        <v>12.695652173913043</v>
      </c>
      <c r="F66" s="340">
        <f>'- 9 -'!D67</f>
        <v>12.977777777777778</v>
      </c>
      <c r="G66" s="340"/>
      <c r="H66" s="14"/>
      <c r="I66" s="14"/>
      <c r="J66" s="340"/>
    </row>
    <row r="67" spans="1:10" ht="12.75">
      <c r="A67" s="11">
        <v>2408</v>
      </c>
      <c r="B67" s="12" t="s">
        <v>170</v>
      </c>
      <c r="C67" s="408">
        <v>8102</v>
      </c>
      <c r="D67" s="12">
        <f>'- 4 -'!F68</f>
        <v>8295</v>
      </c>
      <c r="E67" s="339">
        <v>11.60900375156315</v>
      </c>
      <c r="F67" s="339">
        <f>'- 9 -'!D68</f>
        <v>10.28708133971292</v>
      </c>
      <c r="G67" s="339"/>
      <c r="H67" s="12"/>
      <c r="I67" s="12"/>
      <c r="J67" s="339"/>
    </row>
    <row r="68" ht="6.75" customHeight="1"/>
    <row r="69" spans="1:9" ht="12" customHeight="1">
      <c r="A69" s="380" t="s">
        <v>354</v>
      </c>
      <c r="B69" s="267" t="s">
        <v>359</v>
      </c>
      <c r="C69" s="267"/>
      <c r="D69" s="120"/>
      <c r="E69" s="120"/>
      <c r="F69" s="120"/>
      <c r="G69" s="120"/>
      <c r="H69" s="120"/>
      <c r="I69" s="120"/>
    </row>
    <row r="70" spans="1:9" ht="12" customHeight="1">
      <c r="A70" s="380" t="s">
        <v>355</v>
      </c>
      <c r="B70" s="267" t="s">
        <v>358</v>
      </c>
      <c r="C70" s="267"/>
      <c r="D70" s="120"/>
      <c r="E70" s="120"/>
      <c r="F70" s="120"/>
      <c r="G70" s="120"/>
      <c r="H70" s="120"/>
      <c r="I70" s="120"/>
    </row>
    <row r="71" spans="1:9" ht="12" customHeight="1">
      <c r="A71" s="380" t="s">
        <v>356</v>
      </c>
      <c r="B71" s="267" t="s">
        <v>508</v>
      </c>
      <c r="C71" s="267"/>
      <c r="D71" s="120"/>
      <c r="E71" s="120"/>
      <c r="F71" s="120"/>
      <c r="G71" s="120"/>
      <c r="H71" s="120"/>
      <c r="I71" s="120"/>
    </row>
    <row r="72" spans="1:9" ht="12" customHeight="1">
      <c r="A72" s="380" t="s">
        <v>357</v>
      </c>
      <c r="B72" s="267" t="s">
        <v>507</v>
      </c>
      <c r="C72" s="267"/>
      <c r="D72" s="120"/>
      <c r="E72" s="120"/>
      <c r="F72" s="120"/>
      <c r="G72" s="120"/>
      <c r="H72" s="120"/>
      <c r="I72" s="120"/>
    </row>
    <row r="73" spans="1:9" ht="12" customHeight="1">
      <c r="A73" s="381"/>
      <c r="B73" s="267"/>
      <c r="C73" s="267"/>
      <c r="D73" s="120"/>
      <c r="E73" s="120"/>
      <c r="F73" s="120"/>
      <c r="G73" s="120"/>
      <c r="H73" s="120"/>
      <c r="I73" s="120"/>
    </row>
    <row r="74" spans="2:3" ht="12.75">
      <c r="B74" s="267"/>
      <c r="C74" s="267"/>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4"/>
  <sheetViews>
    <sheetView showGridLines="0" showZeros="0" workbookViewId="0" topLeftCell="A1">
      <selection activeCell="A1" sqref="A1"/>
    </sheetView>
  </sheetViews>
  <sheetFormatPr defaultColWidth="16.83203125" defaultRowHeight="12"/>
  <cols>
    <col min="1" max="1" width="6.83203125" style="79" customWidth="1"/>
    <col min="2" max="2" width="31.83203125" style="79" customWidth="1"/>
    <col min="3" max="7" width="16.83203125" style="79" customWidth="1"/>
    <col min="8" max="16384" width="16.83203125" style="79" customWidth="1"/>
  </cols>
  <sheetData>
    <row r="1" spans="2:7" ht="6.75" customHeight="1">
      <c r="B1" s="77"/>
      <c r="C1" s="139"/>
      <c r="D1" s="139"/>
      <c r="E1" s="139"/>
      <c r="F1" s="139"/>
      <c r="G1" s="139"/>
    </row>
    <row r="2" spans="1:8" ht="12.75">
      <c r="A2" s="6"/>
      <c r="B2" s="80"/>
      <c r="C2" s="196" t="s">
        <v>309</v>
      </c>
      <c r="D2" s="196"/>
      <c r="E2" s="196"/>
      <c r="F2" s="196"/>
      <c r="G2" s="196"/>
      <c r="H2" s="211"/>
    </row>
    <row r="3" spans="1:8" ht="12.75">
      <c r="A3" s="7"/>
      <c r="B3" s="83"/>
      <c r="C3" s="269"/>
      <c r="D3" s="199"/>
      <c r="E3" s="199"/>
      <c r="F3" s="199"/>
      <c r="G3" s="212"/>
      <c r="H3" s="212"/>
    </row>
    <row r="4" spans="1:7" ht="12" customHeight="1">
      <c r="A4" s="8"/>
      <c r="C4" s="139"/>
      <c r="D4" s="139"/>
      <c r="E4" s="139"/>
      <c r="F4" s="139"/>
      <c r="G4" s="139"/>
    </row>
    <row r="5" spans="1:7" ht="12" customHeight="1">
      <c r="A5" s="8"/>
      <c r="C5" s="139"/>
      <c r="D5" s="139"/>
      <c r="E5" s="139"/>
      <c r="F5" s="139"/>
      <c r="G5" s="139"/>
    </row>
    <row r="6" spans="1:9" ht="12.75">
      <c r="A6" s="8"/>
      <c r="C6" s="429" t="str">
        <f>STATDATE</f>
        <v>ACTUAL SEPTEMBER 30, 2001</v>
      </c>
      <c r="D6" s="430"/>
      <c r="E6" s="430"/>
      <c r="F6" s="440"/>
      <c r="G6" s="439" t="s">
        <v>482</v>
      </c>
      <c r="H6" s="431" t="s">
        <v>481</v>
      </c>
      <c r="I6"/>
    </row>
    <row r="7" spans="3:8" ht="16.5">
      <c r="C7" s="186" t="s">
        <v>402</v>
      </c>
      <c r="D7" s="189"/>
      <c r="E7" s="189"/>
      <c r="F7" s="436" t="s">
        <v>399</v>
      </c>
      <c r="G7" s="434" t="s">
        <v>398</v>
      </c>
      <c r="H7" s="301" t="s">
        <v>398</v>
      </c>
    </row>
    <row r="8" spans="1:8" ht="12.75">
      <c r="A8" s="91"/>
      <c r="B8" s="43"/>
      <c r="C8" s="302" t="s">
        <v>90</v>
      </c>
      <c r="D8" s="204" t="s">
        <v>91</v>
      </c>
      <c r="E8" s="432" t="s">
        <v>92</v>
      </c>
      <c r="F8" s="437" t="s">
        <v>89</v>
      </c>
      <c r="G8" s="435"/>
      <c r="H8" s="428"/>
    </row>
    <row r="9" spans="1:8" ht="12.75">
      <c r="A9" s="49" t="s">
        <v>101</v>
      </c>
      <c r="B9" s="50" t="s">
        <v>102</v>
      </c>
      <c r="C9" s="72" t="s">
        <v>310</v>
      </c>
      <c r="D9" s="73" t="s">
        <v>310</v>
      </c>
      <c r="E9" s="433" t="s">
        <v>310</v>
      </c>
      <c r="F9" s="438" t="s">
        <v>310</v>
      </c>
      <c r="G9" s="73" t="s">
        <v>310</v>
      </c>
      <c r="H9" s="72" t="s">
        <v>310</v>
      </c>
    </row>
    <row r="10" spans="1:7" ht="4.5" customHeight="1">
      <c r="A10" s="74"/>
      <c r="B10" s="74"/>
      <c r="E10"/>
      <c r="F10"/>
      <c r="G10"/>
    </row>
    <row r="11" spans="1:8" ht="12.75">
      <c r="A11" s="11">
        <v>1</v>
      </c>
      <c r="B11" s="12" t="s">
        <v>116</v>
      </c>
      <c r="C11" s="405">
        <v>34054</v>
      </c>
      <c r="D11" s="405">
        <v>1837</v>
      </c>
      <c r="E11" s="441">
        <f>C11-D11</f>
        <v>32217</v>
      </c>
      <c r="F11" s="443">
        <f>'- 7 -'!H11</f>
        <v>30793.3</v>
      </c>
      <c r="G11" s="343">
        <v>30405.5</v>
      </c>
      <c r="H11" s="343">
        <v>30362.9</v>
      </c>
    </row>
    <row r="12" spans="1:8" ht="12.75">
      <c r="A12" s="13">
        <v>2</v>
      </c>
      <c r="B12" s="14" t="s">
        <v>117</v>
      </c>
      <c r="C12" s="406">
        <v>9458</v>
      </c>
      <c r="D12" s="406"/>
      <c r="E12" s="442">
        <f aca="true" t="shared" si="0" ref="E12:E63">C12-D12</f>
        <v>9458</v>
      </c>
      <c r="F12" s="444">
        <f>'- 7 -'!H12</f>
        <v>9141.869999999999</v>
      </c>
      <c r="G12" s="344">
        <v>9113</v>
      </c>
      <c r="H12" s="344">
        <v>9218.1</v>
      </c>
    </row>
    <row r="13" spans="1:8" ht="12.75">
      <c r="A13" s="11">
        <v>3</v>
      </c>
      <c r="B13" s="12" t="s">
        <v>118</v>
      </c>
      <c r="C13" s="405">
        <v>6679</v>
      </c>
      <c r="D13" s="405"/>
      <c r="E13" s="441">
        <f t="shared" si="0"/>
        <v>6679</v>
      </c>
      <c r="F13" s="443">
        <f>'- 7 -'!H13</f>
        <v>5853.5</v>
      </c>
      <c r="G13" s="343">
        <v>6406.3</v>
      </c>
      <c r="H13" s="343">
        <v>6411.3</v>
      </c>
    </row>
    <row r="14" spans="1:8" ht="12.75">
      <c r="A14" s="13">
        <v>4</v>
      </c>
      <c r="B14" s="14" t="s">
        <v>119</v>
      </c>
      <c r="C14" s="406">
        <v>6206</v>
      </c>
      <c r="D14" s="406"/>
      <c r="E14" s="442">
        <f t="shared" si="0"/>
        <v>6206</v>
      </c>
      <c r="F14" s="444">
        <f>'- 7 -'!H14</f>
        <v>5911.8</v>
      </c>
      <c r="G14" s="344">
        <v>5886.9</v>
      </c>
      <c r="H14" s="344">
        <v>5887.2</v>
      </c>
    </row>
    <row r="15" spans="1:8" ht="12.75">
      <c r="A15" s="11">
        <v>5</v>
      </c>
      <c r="B15" s="12" t="s">
        <v>120</v>
      </c>
      <c r="C15" s="405">
        <v>7545</v>
      </c>
      <c r="D15" s="405"/>
      <c r="E15" s="441">
        <f t="shared" si="0"/>
        <v>7545</v>
      </c>
      <c r="F15" s="443">
        <f>'- 7 -'!H15</f>
        <v>7213.700000000001</v>
      </c>
      <c r="G15" s="343">
        <v>7047.7</v>
      </c>
      <c r="H15" s="343">
        <v>7046.7</v>
      </c>
    </row>
    <row r="16" spans="1:8" ht="12.75">
      <c r="A16" s="13">
        <v>6</v>
      </c>
      <c r="B16" s="14" t="s">
        <v>121</v>
      </c>
      <c r="C16" s="406">
        <v>9284</v>
      </c>
      <c r="D16" s="406"/>
      <c r="E16" s="442">
        <f t="shared" si="0"/>
        <v>9284</v>
      </c>
      <c r="F16" s="444">
        <f>'- 7 -'!H16</f>
        <v>8784</v>
      </c>
      <c r="G16" s="344">
        <v>8827.8</v>
      </c>
      <c r="H16" s="344">
        <v>8828.1</v>
      </c>
    </row>
    <row r="17" spans="1:8" ht="12.75">
      <c r="A17" s="11">
        <v>9</v>
      </c>
      <c r="B17" s="12" t="s">
        <v>122</v>
      </c>
      <c r="C17" s="405">
        <v>12951</v>
      </c>
      <c r="D17" s="405"/>
      <c r="E17" s="441">
        <f t="shared" si="0"/>
        <v>12951</v>
      </c>
      <c r="F17" s="443">
        <f>'- 7 -'!H17</f>
        <v>12536.7</v>
      </c>
      <c r="G17" s="343">
        <v>12574.4</v>
      </c>
      <c r="H17" s="343">
        <v>12722.5</v>
      </c>
    </row>
    <row r="18" spans="1:8" ht="12.75">
      <c r="A18" s="13">
        <v>10</v>
      </c>
      <c r="B18" s="14" t="s">
        <v>123</v>
      </c>
      <c r="C18" s="406">
        <v>8876</v>
      </c>
      <c r="D18" s="406"/>
      <c r="E18" s="442">
        <f t="shared" si="0"/>
        <v>8876</v>
      </c>
      <c r="F18" s="444">
        <f>'- 7 -'!H18</f>
        <v>8566.5</v>
      </c>
      <c r="G18" s="344">
        <v>8518.1</v>
      </c>
      <c r="H18" s="344">
        <v>8527.7</v>
      </c>
    </row>
    <row r="19" spans="1:8" ht="12.75">
      <c r="A19" s="11">
        <v>11</v>
      </c>
      <c r="B19" s="12" t="s">
        <v>124</v>
      </c>
      <c r="C19" s="405">
        <v>4922</v>
      </c>
      <c r="D19" s="405"/>
      <c r="E19" s="441">
        <f t="shared" si="0"/>
        <v>4922</v>
      </c>
      <c r="F19" s="443">
        <f>'- 7 -'!H19</f>
        <v>4715.5</v>
      </c>
      <c r="G19" s="343">
        <v>4574</v>
      </c>
      <c r="H19" s="343">
        <v>4660.8</v>
      </c>
    </row>
    <row r="20" spans="1:8" ht="12.75">
      <c r="A20" s="13">
        <v>12</v>
      </c>
      <c r="B20" s="14" t="s">
        <v>125</v>
      </c>
      <c r="C20" s="406">
        <v>7987</v>
      </c>
      <c r="D20" s="406"/>
      <c r="E20" s="442">
        <f t="shared" si="0"/>
        <v>7987</v>
      </c>
      <c r="F20" s="444">
        <f>'- 7 -'!H20</f>
        <v>7719</v>
      </c>
      <c r="G20" s="344">
        <v>7754.7</v>
      </c>
      <c r="H20" s="344">
        <v>8052.3</v>
      </c>
    </row>
    <row r="21" spans="1:8" ht="12.75">
      <c r="A21" s="11">
        <v>13</v>
      </c>
      <c r="B21" s="12" t="s">
        <v>126</v>
      </c>
      <c r="C21" s="405">
        <v>2772</v>
      </c>
      <c r="D21" s="405"/>
      <c r="E21" s="441">
        <f t="shared" si="0"/>
        <v>2772</v>
      </c>
      <c r="F21" s="443">
        <f>'- 7 -'!H21</f>
        <v>2674.2</v>
      </c>
      <c r="G21" s="343">
        <v>2625.3</v>
      </c>
      <c r="H21" s="343">
        <v>3229.1</v>
      </c>
    </row>
    <row r="22" spans="1:8" ht="12.75">
      <c r="A22" s="13">
        <v>14</v>
      </c>
      <c r="B22" s="14" t="s">
        <v>127</v>
      </c>
      <c r="C22" s="406">
        <v>3626</v>
      </c>
      <c r="D22" s="406"/>
      <c r="E22" s="442">
        <f t="shared" si="0"/>
        <v>3626</v>
      </c>
      <c r="F22" s="444">
        <f>'- 7 -'!H22</f>
        <v>3515.5</v>
      </c>
      <c r="G22" s="344">
        <v>3485</v>
      </c>
      <c r="H22" s="344">
        <v>3483.7</v>
      </c>
    </row>
    <row r="23" spans="1:8" ht="12.75">
      <c r="A23" s="11">
        <v>15</v>
      </c>
      <c r="B23" s="12" t="s">
        <v>128</v>
      </c>
      <c r="C23" s="405">
        <v>6236</v>
      </c>
      <c r="D23" s="405"/>
      <c r="E23" s="441">
        <f t="shared" si="0"/>
        <v>6236</v>
      </c>
      <c r="F23" s="443">
        <f>'- 7 -'!H23</f>
        <v>5994</v>
      </c>
      <c r="G23" s="343">
        <v>5876.9</v>
      </c>
      <c r="H23" s="343">
        <v>5875.2</v>
      </c>
    </row>
    <row r="24" spans="1:8" ht="12.75">
      <c r="A24" s="13">
        <v>16</v>
      </c>
      <c r="B24" s="14" t="s">
        <v>129</v>
      </c>
      <c r="C24" s="406">
        <v>827</v>
      </c>
      <c r="D24" s="406"/>
      <c r="E24" s="442">
        <f t="shared" si="0"/>
        <v>827</v>
      </c>
      <c r="F24" s="444">
        <f>'- 7 -'!H24</f>
        <v>840.8</v>
      </c>
      <c r="G24" s="344">
        <v>735.5</v>
      </c>
      <c r="H24" s="344">
        <v>736.5</v>
      </c>
    </row>
    <row r="25" spans="1:8" ht="12.75">
      <c r="A25" s="11">
        <v>17</v>
      </c>
      <c r="B25" s="12" t="s">
        <v>130</v>
      </c>
      <c r="C25" s="405">
        <v>505</v>
      </c>
      <c r="D25" s="405"/>
      <c r="E25" s="441">
        <f t="shared" si="0"/>
        <v>505</v>
      </c>
      <c r="F25" s="443">
        <f>'- 7 -'!H25</f>
        <v>488</v>
      </c>
      <c r="G25" s="343">
        <v>506.5</v>
      </c>
      <c r="H25" s="343">
        <v>508.5</v>
      </c>
    </row>
    <row r="26" spans="1:8" ht="12.75">
      <c r="A26" s="13">
        <v>18</v>
      </c>
      <c r="B26" s="14" t="s">
        <v>131</v>
      </c>
      <c r="C26" s="406">
        <v>1459</v>
      </c>
      <c r="D26" s="406"/>
      <c r="E26" s="442">
        <f t="shared" si="0"/>
        <v>1459</v>
      </c>
      <c r="F26" s="444">
        <f>'- 7 -'!H26</f>
        <v>1470.5</v>
      </c>
      <c r="G26" s="344">
        <v>1367.7</v>
      </c>
      <c r="H26" s="344">
        <v>1470.6</v>
      </c>
    </row>
    <row r="27" spans="1:8" ht="12.75">
      <c r="A27" s="11">
        <v>19</v>
      </c>
      <c r="B27" s="12" t="s">
        <v>132</v>
      </c>
      <c r="C27" s="405">
        <v>1898</v>
      </c>
      <c r="D27" s="405"/>
      <c r="E27" s="441">
        <f t="shared" si="0"/>
        <v>1898</v>
      </c>
      <c r="F27" s="443">
        <f>'- 7 -'!H27</f>
        <v>1858.5</v>
      </c>
      <c r="G27" s="343">
        <v>1979.5</v>
      </c>
      <c r="H27" s="343">
        <v>5864.6</v>
      </c>
    </row>
    <row r="28" spans="1:8" ht="12.75">
      <c r="A28" s="13">
        <v>20</v>
      </c>
      <c r="B28" s="14" t="s">
        <v>133</v>
      </c>
      <c r="C28" s="406">
        <v>993</v>
      </c>
      <c r="D28" s="406"/>
      <c r="E28" s="442">
        <f t="shared" si="0"/>
        <v>993</v>
      </c>
      <c r="F28" s="444">
        <f>'- 7 -'!H28</f>
        <v>954.5</v>
      </c>
      <c r="G28" s="344">
        <v>995.8</v>
      </c>
      <c r="H28" s="344">
        <v>995.9</v>
      </c>
    </row>
    <row r="29" spans="1:8" ht="12.75">
      <c r="A29" s="11">
        <v>21</v>
      </c>
      <c r="B29" s="12" t="s">
        <v>134</v>
      </c>
      <c r="C29" s="405">
        <v>3549</v>
      </c>
      <c r="D29" s="405"/>
      <c r="E29" s="441">
        <f t="shared" si="0"/>
        <v>3549</v>
      </c>
      <c r="F29" s="443">
        <f>'- 7 -'!H29</f>
        <v>3431.5</v>
      </c>
      <c r="G29" s="343">
        <v>3417.2</v>
      </c>
      <c r="H29" s="343">
        <v>3507.4</v>
      </c>
    </row>
    <row r="30" spans="1:8" ht="12.75">
      <c r="A30" s="13">
        <v>22</v>
      </c>
      <c r="B30" s="14" t="s">
        <v>135</v>
      </c>
      <c r="C30" s="406">
        <v>1718</v>
      </c>
      <c r="D30" s="406"/>
      <c r="E30" s="442">
        <f t="shared" si="0"/>
        <v>1718</v>
      </c>
      <c r="F30" s="444">
        <f>'- 7 -'!H30</f>
        <v>1765.5</v>
      </c>
      <c r="G30" s="344">
        <v>1707.5</v>
      </c>
      <c r="H30" s="344">
        <v>1706.6</v>
      </c>
    </row>
    <row r="31" spans="1:8" ht="12.75">
      <c r="A31" s="11">
        <v>23</v>
      </c>
      <c r="B31" s="12" t="s">
        <v>136</v>
      </c>
      <c r="C31" s="405">
        <v>1486</v>
      </c>
      <c r="D31" s="405"/>
      <c r="E31" s="441">
        <f t="shared" si="0"/>
        <v>1486</v>
      </c>
      <c r="F31" s="443">
        <f>'- 7 -'!H31</f>
        <v>1438</v>
      </c>
      <c r="G31" s="343">
        <v>1387.1</v>
      </c>
      <c r="H31" s="343">
        <v>1388.1</v>
      </c>
    </row>
    <row r="32" spans="1:8" ht="12.75">
      <c r="A32" s="13">
        <v>24</v>
      </c>
      <c r="B32" s="14" t="s">
        <v>137</v>
      </c>
      <c r="C32" s="406">
        <v>3728</v>
      </c>
      <c r="D32" s="406"/>
      <c r="E32" s="442">
        <f t="shared" si="0"/>
        <v>3728</v>
      </c>
      <c r="F32" s="444">
        <f>'- 7 -'!H32</f>
        <v>3573</v>
      </c>
      <c r="G32" s="344">
        <v>3505.6</v>
      </c>
      <c r="H32" s="344">
        <v>3585.1</v>
      </c>
    </row>
    <row r="33" spans="1:8" ht="12.75">
      <c r="A33" s="11">
        <v>25</v>
      </c>
      <c r="B33" s="12" t="s">
        <v>138</v>
      </c>
      <c r="C33" s="405">
        <v>1495</v>
      </c>
      <c r="D33" s="405"/>
      <c r="E33" s="441">
        <f t="shared" si="0"/>
        <v>1495</v>
      </c>
      <c r="F33" s="443">
        <f>'- 7 -'!H33</f>
        <v>1459.1</v>
      </c>
      <c r="G33" s="343">
        <v>1505</v>
      </c>
      <c r="H33" s="343">
        <v>1608.5</v>
      </c>
    </row>
    <row r="34" spans="1:8" ht="12.75">
      <c r="A34" s="13">
        <v>26</v>
      </c>
      <c r="B34" s="14" t="s">
        <v>139</v>
      </c>
      <c r="C34" s="406">
        <v>2967</v>
      </c>
      <c r="D34" s="406"/>
      <c r="E34" s="442">
        <f t="shared" si="0"/>
        <v>2967</v>
      </c>
      <c r="F34" s="444">
        <f>'- 7 -'!H34</f>
        <v>2843.1</v>
      </c>
      <c r="G34" s="344">
        <v>2762.3</v>
      </c>
      <c r="H34" s="344">
        <v>2811.5</v>
      </c>
    </row>
    <row r="35" spans="1:8" ht="12.75">
      <c r="A35" s="11">
        <v>28</v>
      </c>
      <c r="B35" s="12" t="s">
        <v>140</v>
      </c>
      <c r="C35" s="405">
        <v>1056</v>
      </c>
      <c r="D35" s="405"/>
      <c r="E35" s="441">
        <f t="shared" si="0"/>
        <v>1056</v>
      </c>
      <c r="F35" s="443">
        <f>'- 7 -'!H35</f>
        <v>881.3199999999999</v>
      </c>
      <c r="G35" s="343">
        <v>864.2</v>
      </c>
      <c r="H35" s="343">
        <v>864.2</v>
      </c>
    </row>
    <row r="36" spans="1:8" ht="12.75">
      <c r="A36" s="13">
        <v>30</v>
      </c>
      <c r="B36" s="14" t="s">
        <v>141</v>
      </c>
      <c r="C36" s="406">
        <v>1380</v>
      </c>
      <c r="D36" s="406"/>
      <c r="E36" s="442">
        <f t="shared" si="0"/>
        <v>1380</v>
      </c>
      <c r="F36" s="444">
        <f>'- 7 -'!H36</f>
        <v>1301.7</v>
      </c>
      <c r="G36" s="344">
        <v>1358.8</v>
      </c>
      <c r="H36" s="344">
        <v>1358.8</v>
      </c>
    </row>
    <row r="37" spans="1:8" ht="12.75">
      <c r="A37" s="11">
        <v>31</v>
      </c>
      <c r="B37" s="12" t="s">
        <v>142</v>
      </c>
      <c r="C37" s="405">
        <v>1698</v>
      </c>
      <c r="D37" s="405"/>
      <c r="E37" s="441">
        <f t="shared" si="0"/>
        <v>1698</v>
      </c>
      <c r="F37" s="443">
        <f>'- 7 -'!H37</f>
        <v>1651</v>
      </c>
      <c r="G37" s="343">
        <v>1692.6</v>
      </c>
      <c r="H37" s="343">
        <v>1693.6</v>
      </c>
    </row>
    <row r="38" spans="1:8" ht="12.75">
      <c r="A38" s="13">
        <v>32</v>
      </c>
      <c r="B38" s="14" t="s">
        <v>143</v>
      </c>
      <c r="C38" s="406">
        <v>862</v>
      </c>
      <c r="D38" s="406"/>
      <c r="E38" s="442">
        <f t="shared" si="0"/>
        <v>862</v>
      </c>
      <c r="F38" s="444">
        <f>'- 7 -'!H38</f>
        <v>829</v>
      </c>
      <c r="G38" s="344">
        <v>844.7</v>
      </c>
      <c r="H38" s="344">
        <v>843</v>
      </c>
    </row>
    <row r="39" spans="1:8" ht="12.75">
      <c r="A39" s="11">
        <v>33</v>
      </c>
      <c r="B39" s="12" t="s">
        <v>144</v>
      </c>
      <c r="C39" s="405">
        <v>1979</v>
      </c>
      <c r="D39" s="405"/>
      <c r="E39" s="441">
        <f t="shared" si="0"/>
        <v>1979</v>
      </c>
      <c r="F39" s="443">
        <f>'- 7 -'!H39</f>
        <v>1903</v>
      </c>
      <c r="G39" s="343">
        <v>1875.3</v>
      </c>
      <c r="H39" s="343">
        <v>1862.4</v>
      </c>
    </row>
    <row r="40" spans="1:8" ht="12.75">
      <c r="A40" s="13">
        <v>34</v>
      </c>
      <c r="B40" s="14" t="s">
        <v>145</v>
      </c>
      <c r="C40" s="406">
        <v>751</v>
      </c>
      <c r="D40" s="406"/>
      <c r="E40" s="442">
        <f t="shared" si="0"/>
        <v>751</v>
      </c>
      <c r="F40" s="444">
        <f>'- 7 -'!H40</f>
        <v>733</v>
      </c>
      <c r="G40" s="344">
        <v>699.5</v>
      </c>
      <c r="H40" s="344">
        <v>698.5</v>
      </c>
    </row>
    <row r="41" spans="1:8" ht="12.75">
      <c r="A41" s="11">
        <v>35</v>
      </c>
      <c r="B41" s="12" t="s">
        <v>146</v>
      </c>
      <c r="C41" s="405">
        <v>1988</v>
      </c>
      <c r="D41" s="405"/>
      <c r="E41" s="441">
        <f t="shared" si="0"/>
        <v>1988</v>
      </c>
      <c r="F41" s="443">
        <f>'- 7 -'!H41</f>
        <v>1923.8000000000002</v>
      </c>
      <c r="G41" s="343">
        <v>1861.1</v>
      </c>
      <c r="H41" s="343">
        <v>1890.9</v>
      </c>
    </row>
    <row r="42" spans="1:8" ht="12.75">
      <c r="A42" s="13">
        <v>36</v>
      </c>
      <c r="B42" s="14" t="s">
        <v>147</v>
      </c>
      <c r="C42" s="406">
        <v>1045</v>
      </c>
      <c r="D42" s="406"/>
      <c r="E42" s="442">
        <f t="shared" si="0"/>
        <v>1045</v>
      </c>
      <c r="F42" s="444">
        <f>'- 7 -'!H42</f>
        <v>1008.5</v>
      </c>
      <c r="G42" s="344">
        <v>1054.5</v>
      </c>
      <c r="H42" s="344">
        <v>1054</v>
      </c>
    </row>
    <row r="43" spans="1:8" ht="12.75">
      <c r="A43" s="11">
        <v>37</v>
      </c>
      <c r="B43" s="12" t="s">
        <v>148</v>
      </c>
      <c r="C43" s="405">
        <v>997</v>
      </c>
      <c r="D43" s="405"/>
      <c r="E43" s="441">
        <f t="shared" si="0"/>
        <v>997</v>
      </c>
      <c r="F43" s="443">
        <f>'- 7 -'!H43</f>
        <v>963</v>
      </c>
      <c r="G43" s="343">
        <v>932.4</v>
      </c>
      <c r="H43" s="343">
        <v>932.4</v>
      </c>
    </row>
    <row r="44" spans="1:8" ht="12.75">
      <c r="A44" s="13">
        <v>38</v>
      </c>
      <c r="B44" s="14" t="s">
        <v>149</v>
      </c>
      <c r="C44" s="406">
        <v>1200</v>
      </c>
      <c r="D44" s="406"/>
      <c r="E44" s="442">
        <f t="shared" si="0"/>
        <v>1200</v>
      </c>
      <c r="F44" s="444">
        <f>'- 7 -'!H44</f>
        <v>1168</v>
      </c>
      <c r="G44" s="344">
        <v>1163.6</v>
      </c>
      <c r="H44" s="344">
        <v>1162.9</v>
      </c>
    </row>
    <row r="45" spans="1:8" ht="12.75">
      <c r="A45" s="11">
        <v>39</v>
      </c>
      <c r="B45" s="12" t="s">
        <v>150</v>
      </c>
      <c r="C45" s="405">
        <v>2213</v>
      </c>
      <c r="D45" s="405"/>
      <c r="E45" s="441">
        <f t="shared" si="0"/>
        <v>2213</v>
      </c>
      <c r="F45" s="443">
        <f>'- 7 -'!H45</f>
        <v>2120</v>
      </c>
      <c r="G45" s="343">
        <v>2120</v>
      </c>
      <c r="H45" s="343">
        <v>2154.7</v>
      </c>
    </row>
    <row r="46" spans="1:8" ht="12.75">
      <c r="A46" s="13">
        <v>40</v>
      </c>
      <c r="B46" s="14" t="s">
        <v>151</v>
      </c>
      <c r="C46" s="406">
        <v>7667</v>
      </c>
      <c r="D46" s="406"/>
      <c r="E46" s="442">
        <f t="shared" si="0"/>
        <v>7667</v>
      </c>
      <c r="F46" s="444">
        <f>'- 7 -'!H46</f>
        <v>7401</v>
      </c>
      <c r="G46" s="344">
        <v>7345.6</v>
      </c>
      <c r="H46" s="344">
        <v>7444.4</v>
      </c>
    </row>
    <row r="47" spans="1:8" ht="12.75">
      <c r="A47" s="11">
        <v>41</v>
      </c>
      <c r="B47" s="12" t="s">
        <v>152</v>
      </c>
      <c r="C47" s="405">
        <v>1699</v>
      </c>
      <c r="D47" s="405"/>
      <c r="E47" s="441">
        <f t="shared" si="0"/>
        <v>1699</v>
      </c>
      <c r="F47" s="443">
        <f>'- 7 -'!H47</f>
        <v>1655.7</v>
      </c>
      <c r="G47" s="343">
        <v>1571.3</v>
      </c>
      <c r="H47" s="343">
        <v>1595.5</v>
      </c>
    </row>
    <row r="48" spans="1:8" ht="12.75">
      <c r="A48" s="13">
        <v>42</v>
      </c>
      <c r="B48" s="14" t="s">
        <v>153</v>
      </c>
      <c r="C48" s="406">
        <v>1128</v>
      </c>
      <c r="D48" s="406"/>
      <c r="E48" s="442">
        <f t="shared" si="0"/>
        <v>1128</v>
      </c>
      <c r="F48" s="444">
        <f>'- 7 -'!H48</f>
        <v>1057</v>
      </c>
      <c r="G48" s="344">
        <v>1098.1</v>
      </c>
      <c r="H48" s="344">
        <v>1095.1</v>
      </c>
    </row>
    <row r="49" spans="1:8" ht="12.75">
      <c r="A49" s="11">
        <v>43</v>
      </c>
      <c r="B49" s="12" t="s">
        <v>154</v>
      </c>
      <c r="C49" s="405">
        <v>800</v>
      </c>
      <c r="D49" s="405"/>
      <c r="E49" s="441">
        <f t="shared" si="0"/>
        <v>800</v>
      </c>
      <c r="F49" s="443">
        <f>'- 7 -'!H49</f>
        <v>778.5</v>
      </c>
      <c r="G49" s="343">
        <v>825.5</v>
      </c>
      <c r="H49" s="343">
        <v>834.4</v>
      </c>
    </row>
    <row r="50" spans="1:8" ht="12.75">
      <c r="A50" s="13">
        <v>44</v>
      </c>
      <c r="B50" s="14" t="s">
        <v>155</v>
      </c>
      <c r="C50" s="406">
        <v>1286</v>
      </c>
      <c r="D50" s="406"/>
      <c r="E50" s="442">
        <f t="shared" si="0"/>
        <v>1286</v>
      </c>
      <c r="F50" s="444">
        <f>'- 7 -'!H50</f>
        <v>1243.5</v>
      </c>
      <c r="G50" s="344">
        <v>1284</v>
      </c>
      <c r="H50" s="344">
        <v>1394.3</v>
      </c>
    </row>
    <row r="51" spans="1:8" ht="12.75">
      <c r="A51" s="11">
        <v>45</v>
      </c>
      <c r="B51" s="12" t="s">
        <v>156</v>
      </c>
      <c r="C51" s="405">
        <v>2024</v>
      </c>
      <c r="D51" s="405"/>
      <c r="E51" s="441">
        <f t="shared" si="0"/>
        <v>2024</v>
      </c>
      <c r="F51" s="443">
        <f>'- 7 -'!H51</f>
        <v>1884.1</v>
      </c>
      <c r="G51" s="343">
        <v>1817.8</v>
      </c>
      <c r="H51" s="343">
        <v>1816.8</v>
      </c>
    </row>
    <row r="52" spans="1:8" ht="12.75">
      <c r="A52" s="13">
        <v>46</v>
      </c>
      <c r="B52" s="14" t="s">
        <v>157</v>
      </c>
      <c r="C52" s="406">
        <v>1502</v>
      </c>
      <c r="D52" s="406"/>
      <c r="E52" s="442">
        <f t="shared" si="0"/>
        <v>1502</v>
      </c>
      <c r="F52" s="444">
        <f>'- 7 -'!H52</f>
        <v>1437.4</v>
      </c>
      <c r="G52" s="344">
        <v>1333.7</v>
      </c>
      <c r="H52" s="344">
        <v>1333.7</v>
      </c>
    </row>
    <row r="53" spans="1:8" ht="12.75">
      <c r="A53" s="11">
        <v>47</v>
      </c>
      <c r="B53" s="12" t="s">
        <v>158</v>
      </c>
      <c r="C53" s="405">
        <v>1494</v>
      </c>
      <c r="D53" s="405"/>
      <c r="E53" s="441">
        <f t="shared" si="0"/>
        <v>1494</v>
      </c>
      <c r="F53" s="443">
        <f>'- 7 -'!H53</f>
        <v>1446.5</v>
      </c>
      <c r="G53" s="343">
        <v>1442.7</v>
      </c>
      <c r="H53" s="343">
        <v>1515.2</v>
      </c>
    </row>
    <row r="54" spans="1:8" ht="12.75">
      <c r="A54" s="13">
        <v>48</v>
      </c>
      <c r="B54" s="14" t="s">
        <v>159</v>
      </c>
      <c r="C54" s="406">
        <v>5829</v>
      </c>
      <c r="D54" s="406">
        <v>358</v>
      </c>
      <c r="E54" s="442">
        <f t="shared" si="0"/>
        <v>5471</v>
      </c>
      <c r="F54" s="444">
        <f>'- 7 -'!H54</f>
        <v>5227.7</v>
      </c>
      <c r="G54" s="344">
        <v>2378.3</v>
      </c>
      <c r="H54" s="344">
        <v>2459.7</v>
      </c>
    </row>
    <row r="55" spans="1:8" ht="12.75">
      <c r="A55" s="11">
        <v>49</v>
      </c>
      <c r="B55" s="12" t="s">
        <v>160</v>
      </c>
      <c r="C55" s="405">
        <v>4435</v>
      </c>
      <c r="D55" s="405"/>
      <c r="E55" s="441">
        <f t="shared" si="0"/>
        <v>4435</v>
      </c>
      <c r="F55" s="443">
        <f>'- 7 -'!H55</f>
        <v>4260.8</v>
      </c>
      <c r="G55" s="343">
        <v>4290.7</v>
      </c>
      <c r="H55" s="343">
        <v>4289.8</v>
      </c>
    </row>
    <row r="56" spans="1:8" ht="12.75">
      <c r="A56" s="13">
        <v>50</v>
      </c>
      <c r="B56" s="14" t="s">
        <v>343</v>
      </c>
      <c r="C56" s="406">
        <v>1860</v>
      </c>
      <c r="D56" s="406"/>
      <c r="E56" s="442">
        <f t="shared" si="0"/>
        <v>1860</v>
      </c>
      <c r="F56" s="444">
        <f>'- 7 -'!H56</f>
        <v>1762.3</v>
      </c>
      <c r="G56" s="344">
        <v>1835.4</v>
      </c>
      <c r="H56" s="344">
        <v>1833.2</v>
      </c>
    </row>
    <row r="57" spans="1:8" ht="12.75">
      <c r="A57" s="11">
        <v>2264</v>
      </c>
      <c r="B57" s="12" t="s">
        <v>161</v>
      </c>
      <c r="C57" s="405">
        <v>207</v>
      </c>
      <c r="D57" s="405"/>
      <c r="E57" s="441">
        <f t="shared" si="0"/>
        <v>207</v>
      </c>
      <c r="F57" s="443">
        <f>'- 7 -'!H57</f>
        <v>196.5</v>
      </c>
      <c r="G57" s="343">
        <v>191.5</v>
      </c>
      <c r="H57" s="343">
        <v>191.5</v>
      </c>
    </row>
    <row r="58" spans="1:8" ht="12.75">
      <c r="A58" s="13">
        <v>2309</v>
      </c>
      <c r="B58" s="14" t="s">
        <v>162</v>
      </c>
      <c r="C58" s="406">
        <v>273</v>
      </c>
      <c r="D58" s="406"/>
      <c r="E58" s="442">
        <f t="shared" si="0"/>
        <v>273</v>
      </c>
      <c r="F58" s="444">
        <f>'- 7 -'!H58</f>
        <v>260.7</v>
      </c>
      <c r="G58" s="344">
        <v>252</v>
      </c>
      <c r="H58" s="344">
        <v>252</v>
      </c>
    </row>
    <row r="59" spans="1:8" ht="12.75">
      <c r="A59" s="11">
        <v>2312</v>
      </c>
      <c r="B59" s="12" t="s">
        <v>163</v>
      </c>
      <c r="C59" s="405">
        <v>186</v>
      </c>
      <c r="D59" s="405"/>
      <c r="E59" s="441">
        <f t="shared" si="0"/>
        <v>186</v>
      </c>
      <c r="F59" s="443">
        <f>'- 7 -'!H59</f>
        <v>174</v>
      </c>
      <c r="G59" s="343">
        <v>184.5</v>
      </c>
      <c r="H59" s="343">
        <v>184.5</v>
      </c>
    </row>
    <row r="60" spans="1:8" ht="12.75">
      <c r="A60" s="13">
        <v>2355</v>
      </c>
      <c r="B60" s="14" t="s">
        <v>164</v>
      </c>
      <c r="C60" s="406">
        <v>3466</v>
      </c>
      <c r="D60" s="406"/>
      <c r="E60" s="442">
        <f t="shared" si="0"/>
        <v>3466</v>
      </c>
      <c r="F60" s="444">
        <f>'- 7 -'!H60</f>
        <v>3321.3</v>
      </c>
      <c r="G60" s="344">
        <v>3289.1</v>
      </c>
      <c r="H60" s="344">
        <v>3409.1</v>
      </c>
    </row>
    <row r="61" spans="1:8" ht="12.75">
      <c r="A61" s="11">
        <v>2439</v>
      </c>
      <c r="B61" s="12" t="s">
        <v>165</v>
      </c>
      <c r="C61" s="405">
        <v>163</v>
      </c>
      <c r="D61" s="405"/>
      <c r="E61" s="441">
        <f t="shared" si="0"/>
        <v>163</v>
      </c>
      <c r="F61" s="443">
        <f>'- 7 -'!H61</f>
        <v>156.5</v>
      </c>
      <c r="G61" s="343">
        <v>143.5</v>
      </c>
      <c r="H61" s="343">
        <v>142.5</v>
      </c>
    </row>
    <row r="62" spans="1:8" ht="12.75">
      <c r="A62" s="13">
        <v>2460</v>
      </c>
      <c r="B62" s="14" t="s">
        <v>166</v>
      </c>
      <c r="C62" s="406">
        <v>284</v>
      </c>
      <c r="D62" s="406"/>
      <c r="E62" s="442">
        <f t="shared" si="0"/>
        <v>284</v>
      </c>
      <c r="F62" s="444">
        <f>'- 7 -'!H62</f>
        <v>272.2</v>
      </c>
      <c r="G62" s="344">
        <v>309.8</v>
      </c>
      <c r="H62" s="344">
        <v>309.8</v>
      </c>
    </row>
    <row r="63" spans="1:8" ht="12.75">
      <c r="A63" s="11">
        <v>3000</v>
      </c>
      <c r="B63" s="12" t="s">
        <v>366</v>
      </c>
      <c r="C63" s="405"/>
      <c r="D63" s="405"/>
      <c r="E63" s="441">
        <f t="shared" si="0"/>
        <v>0</v>
      </c>
      <c r="F63" s="443">
        <f>'- 7 -'!H63</f>
        <v>671.4</v>
      </c>
      <c r="G63" s="343">
        <v>0</v>
      </c>
      <c r="H63" s="343">
        <v>0</v>
      </c>
    </row>
    <row r="64" spans="1:8" ht="4.5" customHeight="1">
      <c r="A64" s="15"/>
      <c r="B64" s="15"/>
      <c r="C64" s="412"/>
      <c r="D64" s="412"/>
      <c r="E64" s="413"/>
      <c r="F64" s="341"/>
      <c r="G64" s="341"/>
      <c r="H64"/>
    </row>
    <row r="65" spans="1:8" ht="12.75">
      <c r="A65" s="17"/>
      <c r="B65" s="18" t="s">
        <v>167</v>
      </c>
      <c r="C65" s="407">
        <f aca="true" t="shared" si="1" ref="C65:H65">SUM(C11:C63)</f>
        <v>190693</v>
      </c>
      <c r="D65" s="407">
        <f t="shared" si="1"/>
        <v>2195</v>
      </c>
      <c r="E65" s="445">
        <f t="shared" si="1"/>
        <v>188498</v>
      </c>
      <c r="F65" s="446">
        <f t="shared" si="1"/>
        <v>181231.49000000002</v>
      </c>
      <c r="G65" s="347">
        <f t="shared" si="1"/>
        <v>177025.5</v>
      </c>
      <c r="H65" s="342">
        <f t="shared" si="1"/>
        <v>183105.80000000002</v>
      </c>
    </row>
    <row r="66" spans="1:8" ht="4.5" customHeight="1">
      <c r="A66" s="15"/>
      <c r="B66" s="15"/>
      <c r="C66" s="412"/>
      <c r="D66" s="412"/>
      <c r="E66" s="413"/>
      <c r="F66" s="341"/>
      <c r="G66" s="341"/>
      <c r="H66"/>
    </row>
    <row r="67" spans="1:8" ht="12.75">
      <c r="A67" s="13">
        <v>2155</v>
      </c>
      <c r="B67" s="14" t="s">
        <v>168</v>
      </c>
      <c r="C67" s="406">
        <v>147</v>
      </c>
      <c r="D67" s="406"/>
      <c r="E67" s="406">
        <f>C67-D67</f>
        <v>147</v>
      </c>
      <c r="F67" s="444">
        <f>'- 7 -'!H67</f>
        <v>146</v>
      </c>
      <c r="G67" s="340">
        <v>79.5</v>
      </c>
      <c r="H67" s="344">
        <v>79.5</v>
      </c>
    </row>
    <row r="68" spans="1:8" ht="12.75">
      <c r="A68" s="11">
        <v>2408</v>
      </c>
      <c r="B68" s="12" t="s">
        <v>170</v>
      </c>
      <c r="C68" s="405">
        <v>262</v>
      </c>
      <c r="D68" s="405"/>
      <c r="E68" s="405">
        <f>C68-D68</f>
        <v>262</v>
      </c>
      <c r="F68" s="443">
        <f>'- 7 -'!H68</f>
        <v>258</v>
      </c>
      <c r="G68" s="339">
        <v>258.5</v>
      </c>
      <c r="H68" s="343">
        <v>258.5</v>
      </c>
    </row>
    <row r="69" ht="6.75" customHeight="1">
      <c r="G69" s="303"/>
    </row>
    <row r="70" spans="1:7" ht="12" customHeight="1">
      <c r="A70" s="380" t="s">
        <v>354</v>
      </c>
      <c r="B70" s="268" t="s">
        <v>496</v>
      </c>
      <c r="D70" s="126"/>
      <c r="E70" s="126"/>
      <c r="F70" s="126"/>
      <c r="G70" s="126"/>
    </row>
    <row r="71" spans="1:7" ht="12" customHeight="1">
      <c r="A71" s="380" t="s">
        <v>355</v>
      </c>
      <c r="B71" s="268" t="s">
        <v>446</v>
      </c>
      <c r="D71" s="126"/>
      <c r="E71" s="126"/>
      <c r="F71" s="126"/>
      <c r="G71" s="126"/>
    </row>
    <row r="72" spans="1:7" ht="12" customHeight="1">
      <c r="A72" s="52"/>
      <c r="B72" s="268" t="s">
        <v>447</v>
      </c>
      <c r="D72" s="126"/>
      <c r="E72" s="126"/>
      <c r="F72" s="126"/>
      <c r="G72" s="126"/>
    </row>
    <row r="73" spans="2:7" ht="12" customHeight="1">
      <c r="B73" s="268" t="s">
        <v>486</v>
      </c>
      <c r="D73" s="126"/>
      <c r="E73" s="126"/>
      <c r="F73" s="126"/>
      <c r="G73" s="304"/>
    </row>
    <row r="74" spans="1:7" ht="12" customHeight="1">
      <c r="A74" s="380" t="s">
        <v>356</v>
      </c>
      <c r="B74" s="268" t="s">
        <v>511</v>
      </c>
      <c r="C74" s="126"/>
      <c r="D74" s="126"/>
      <c r="E74" s="126"/>
      <c r="F74" s="126"/>
      <c r="G74" s="126"/>
    </row>
    <row r="75" ht="12" customHeight="1"/>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79" customWidth="1"/>
    <col min="2" max="2" width="35.83203125" style="79" customWidth="1"/>
    <col min="3" max="4" width="31.83203125" style="79" customWidth="1"/>
    <col min="5" max="5" width="28.83203125" style="79" customWidth="1"/>
    <col min="6" max="16384" width="9.33203125" style="79" customWidth="1"/>
  </cols>
  <sheetData>
    <row r="1" spans="2:5" ht="6.75" customHeight="1">
      <c r="B1" s="77"/>
      <c r="C1" s="139"/>
      <c r="D1" s="139"/>
      <c r="E1" s="139"/>
    </row>
    <row r="2" spans="1:5" ht="12.75">
      <c r="A2" s="6"/>
      <c r="B2" s="80"/>
      <c r="C2" s="196" t="s">
        <v>312</v>
      </c>
      <c r="D2" s="196"/>
      <c r="E2" s="299"/>
    </row>
    <row r="3" spans="1:5" ht="12.75">
      <c r="A3" s="7"/>
      <c r="B3" s="83"/>
      <c r="C3" s="199" t="str">
        <f>STATDATE</f>
        <v>ACTUAL SEPTEMBER 30, 2001</v>
      </c>
      <c r="D3" s="199"/>
      <c r="E3" s="217"/>
    </row>
    <row r="4" spans="1:5" ht="6" customHeight="1">
      <c r="A4" s="8"/>
      <c r="C4" s="139"/>
      <c r="D4" s="139"/>
      <c r="E4" s="139"/>
    </row>
    <row r="5" spans="1:5" ht="6" customHeight="1">
      <c r="A5" s="8"/>
      <c r="C5" s="139"/>
      <c r="D5" s="139"/>
      <c r="E5" s="139"/>
    </row>
    <row r="6" spans="1:5" ht="6" customHeight="1">
      <c r="A6" s="8"/>
      <c r="C6" s="139"/>
      <c r="D6" s="139"/>
      <c r="E6" s="139"/>
    </row>
    <row r="7" spans="3:5" ht="12.75">
      <c r="C7" s="186" t="s">
        <v>311</v>
      </c>
      <c r="D7" s="263"/>
      <c r="E7" s="139"/>
    </row>
    <row r="8" spans="1:5" ht="12.75">
      <c r="A8" s="91"/>
      <c r="B8" s="43"/>
      <c r="C8" s="300" t="s">
        <v>93</v>
      </c>
      <c r="D8" s="225"/>
      <c r="E8" s="178"/>
    </row>
    <row r="9" spans="1:4" ht="16.5">
      <c r="A9" s="49" t="s">
        <v>101</v>
      </c>
      <c r="B9" s="50" t="s">
        <v>102</v>
      </c>
      <c r="C9" s="49" t="s">
        <v>400</v>
      </c>
      <c r="D9" s="266" t="s">
        <v>401</v>
      </c>
    </row>
    <row r="10" spans="1:2" ht="4.5" customHeight="1">
      <c r="A10" s="74"/>
      <c r="B10" s="74"/>
    </row>
    <row r="11" spans="1:4" ht="12.75">
      <c r="A11" s="11">
        <v>1</v>
      </c>
      <c r="B11" s="12" t="s">
        <v>116</v>
      </c>
      <c r="C11" s="339">
        <v>18.691442278029953</v>
      </c>
      <c r="D11" s="339">
        <v>14.433908315365144</v>
      </c>
    </row>
    <row r="12" spans="1:4" ht="12.75">
      <c r="A12" s="13">
        <v>2</v>
      </c>
      <c r="B12" s="14" t="s">
        <v>117</v>
      </c>
      <c r="C12" s="340">
        <v>18.33864719602474</v>
      </c>
      <c r="D12" s="340">
        <v>15.20401476849388</v>
      </c>
    </row>
    <row r="13" spans="1:4" ht="12.75">
      <c r="A13" s="11">
        <v>3</v>
      </c>
      <c r="B13" s="12" t="s">
        <v>118</v>
      </c>
      <c r="C13" s="339">
        <v>18.78168516973625</v>
      </c>
      <c r="D13" s="339">
        <v>14.71357112334414</v>
      </c>
    </row>
    <row r="14" spans="1:4" ht="12.75">
      <c r="A14" s="13">
        <v>4</v>
      </c>
      <c r="B14" s="14" t="s">
        <v>119</v>
      </c>
      <c r="C14" s="340">
        <v>19.244234141821913</v>
      </c>
      <c r="D14" s="340">
        <v>14.73896783844428</v>
      </c>
    </row>
    <row r="15" spans="1:4" ht="12.75">
      <c r="A15" s="11">
        <v>5</v>
      </c>
      <c r="B15" s="12" t="s">
        <v>120</v>
      </c>
      <c r="C15" s="339">
        <v>18.592097075295584</v>
      </c>
      <c r="D15" s="339">
        <v>14.993868346116276</v>
      </c>
    </row>
    <row r="16" spans="1:4" ht="12.75">
      <c r="A16" s="13">
        <v>6</v>
      </c>
      <c r="B16" s="14" t="s">
        <v>121</v>
      </c>
      <c r="C16" s="340">
        <v>19.198465709939818</v>
      </c>
      <c r="D16" s="340">
        <v>15.277584527619315</v>
      </c>
    </row>
    <row r="17" spans="1:4" ht="12.75">
      <c r="A17" s="11">
        <v>9</v>
      </c>
      <c r="B17" s="12" t="s">
        <v>122</v>
      </c>
      <c r="C17" s="339">
        <v>18.81673991392813</v>
      </c>
      <c r="D17" s="339">
        <v>15.170256534365924</v>
      </c>
    </row>
    <row r="18" spans="1:4" ht="12.75">
      <c r="A18" s="13">
        <v>10</v>
      </c>
      <c r="B18" s="14" t="s">
        <v>123</v>
      </c>
      <c r="C18" s="340">
        <v>18.251760224281465</v>
      </c>
      <c r="D18" s="340">
        <v>15.468860037198217</v>
      </c>
    </row>
    <row r="19" spans="1:4" ht="12.75">
      <c r="A19" s="11">
        <v>11</v>
      </c>
      <c r="B19" s="12" t="s">
        <v>124</v>
      </c>
      <c r="C19" s="339">
        <v>17.980861244019138</v>
      </c>
      <c r="D19" s="339">
        <v>15.0775379696243</v>
      </c>
    </row>
    <row r="20" spans="1:4" ht="12.75">
      <c r="A20" s="13">
        <v>12</v>
      </c>
      <c r="B20" s="14" t="s">
        <v>125</v>
      </c>
      <c r="C20" s="340">
        <v>19.359548864609035</v>
      </c>
      <c r="D20" s="340">
        <v>15.375575164830789</v>
      </c>
    </row>
    <row r="21" spans="1:4" ht="12.75">
      <c r="A21" s="11">
        <v>13</v>
      </c>
      <c r="B21" s="12" t="s">
        <v>126</v>
      </c>
      <c r="C21" s="339">
        <v>17.984842333197996</v>
      </c>
      <c r="D21" s="339">
        <v>14.268487888165618</v>
      </c>
    </row>
    <row r="22" spans="1:4" ht="12.75">
      <c r="A22" s="13">
        <v>14</v>
      </c>
      <c r="B22" s="14" t="s">
        <v>127</v>
      </c>
      <c r="C22" s="340">
        <v>19.808981799740803</v>
      </c>
      <c r="D22" s="340">
        <v>16.553656354475677</v>
      </c>
    </row>
    <row r="23" spans="1:4" ht="12.75">
      <c r="A23" s="11">
        <v>15</v>
      </c>
      <c r="B23" s="12" t="s">
        <v>128</v>
      </c>
      <c r="C23" s="339">
        <v>20.203110766220185</v>
      </c>
      <c r="D23" s="339">
        <v>17.714336377338416</v>
      </c>
    </row>
    <row r="24" spans="1:4" ht="12.75">
      <c r="A24" s="13">
        <v>16</v>
      </c>
      <c r="B24" s="14" t="s">
        <v>129</v>
      </c>
      <c r="C24" s="340">
        <v>16.89710610932476</v>
      </c>
      <c r="D24" s="340">
        <v>15.014285714285716</v>
      </c>
    </row>
    <row r="25" spans="1:4" ht="12.75">
      <c r="A25" s="11">
        <v>17</v>
      </c>
      <c r="B25" s="12" t="s">
        <v>130</v>
      </c>
      <c r="C25" s="339">
        <v>15.26984126984127</v>
      </c>
      <c r="D25" s="339">
        <v>12.548212908202622</v>
      </c>
    </row>
    <row r="26" spans="1:4" ht="12.75">
      <c r="A26" s="13">
        <v>18</v>
      </c>
      <c r="B26" s="14" t="s">
        <v>131</v>
      </c>
      <c r="C26" s="340">
        <v>18.932663834170206</v>
      </c>
      <c r="D26" s="340">
        <v>15.570732740364253</v>
      </c>
    </row>
    <row r="27" spans="1:4" ht="12.75">
      <c r="A27" s="11">
        <v>19</v>
      </c>
      <c r="B27" s="12" t="s">
        <v>132</v>
      </c>
      <c r="C27" s="339">
        <v>18.991416309012877</v>
      </c>
      <c r="D27" s="339">
        <v>16.203138622493462</v>
      </c>
    </row>
    <row r="28" spans="1:4" ht="12.75">
      <c r="A28" s="13">
        <v>20</v>
      </c>
      <c r="B28" s="14" t="s">
        <v>133</v>
      </c>
      <c r="C28" s="340">
        <v>15.90947332996803</v>
      </c>
      <c r="D28" s="340">
        <v>13.260627952208946</v>
      </c>
    </row>
    <row r="29" spans="1:4" ht="12.75">
      <c r="A29" s="11">
        <v>21</v>
      </c>
      <c r="B29" s="12" t="s">
        <v>134</v>
      </c>
      <c r="C29" s="339">
        <v>18.83765875207068</v>
      </c>
      <c r="D29" s="339">
        <v>15.319196428571429</v>
      </c>
    </row>
    <row r="30" spans="1:4" ht="12.75">
      <c r="A30" s="13">
        <v>22</v>
      </c>
      <c r="B30" s="14" t="s">
        <v>135</v>
      </c>
      <c r="C30" s="340">
        <v>20.88607594936709</v>
      </c>
      <c r="D30" s="340">
        <v>17.302038416307333</v>
      </c>
    </row>
    <row r="31" spans="1:4" ht="12.75">
      <c r="A31" s="11">
        <v>23</v>
      </c>
      <c r="B31" s="12" t="s">
        <v>136</v>
      </c>
      <c r="C31" s="339">
        <v>18.417008196721312</v>
      </c>
      <c r="D31" s="339">
        <v>15.194420963651735</v>
      </c>
    </row>
    <row r="32" spans="1:4" ht="12.75">
      <c r="A32" s="13">
        <v>24</v>
      </c>
      <c r="B32" s="14" t="s">
        <v>137</v>
      </c>
      <c r="C32" s="340">
        <v>18.63777255237281</v>
      </c>
      <c r="D32" s="340">
        <v>15.3472788969546</v>
      </c>
    </row>
    <row r="33" spans="1:4" ht="12.75">
      <c r="A33" s="11">
        <v>25</v>
      </c>
      <c r="B33" s="12" t="s">
        <v>138</v>
      </c>
      <c r="C33" s="339">
        <v>17.495203836930454</v>
      </c>
      <c r="D33" s="339">
        <v>15.313811922753986</v>
      </c>
    </row>
    <row r="34" spans="1:4" ht="12.75">
      <c r="A34" s="13">
        <v>26</v>
      </c>
      <c r="B34" s="14" t="s">
        <v>139</v>
      </c>
      <c r="C34" s="340">
        <v>19.204302558091427</v>
      </c>
      <c r="D34" s="340">
        <v>16.438855160450995</v>
      </c>
    </row>
    <row r="35" spans="1:4" ht="12.75">
      <c r="A35" s="11">
        <v>28</v>
      </c>
      <c r="B35" s="12" t="s">
        <v>140</v>
      </c>
      <c r="C35" s="339">
        <v>16.12662397072278</v>
      </c>
      <c r="D35" s="339">
        <v>14.203384367445608</v>
      </c>
    </row>
    <row r="36" spans="1:4" ht="12.75">
      <c r="A36" s="13">
        <v>30</v>
      </c>
      <c r="B36" s="14" t="s">
        <v>141</v>
      </c>
      <c r="C36" s="340">
        <v>16.839586028460545</v>
      </c>
      <c r="D36" s="340">
        <v>14.586508292245629</v>
      </c>
    </row>
    <row r="37" spans="1:4" ht="12.75">
      <c r="A37" s="11">
        <v>31</v>
      </c>
      <c r="B37" s="12" t="s">
        <v>142</v>
      </c>
      <c r="C37" s="339">
        <v>17.99149126735334</v>
      </c>
      <c r="D37" s="339">
        <v>15.565192797209392</v>
      </c>
    </row>
    <row r="38" spans="1:4" ht="12.75">
      <c r="A38" s="13">
        <v>32</v>
      </c>
      <c r="B38" s="14" t="s">
        <v>143</v>
      </c>
      <c r="C38" s="340">
        <v>17.213455149501662</v>
      </c>
      <c r="D38" s="340">
        <v>13.960929605927923</v>
      </c>
    </row>
    <row r="39" spans="1:4" ht="12.75">
      <c r="A39" s="11">
        <v>33</v>
      </c>
      <c r="B39" s="12" t="s">
        <v>144</v>
      </c>
      <c r="C39" s="339">
        <v>20.048873778155546</v>
      </c>
      <c r="D39" s="339">
        <v>16.018518518518515</v>
      </c>
    </row>
    <row r="40" spans="1:4" ht="12.75">
      <c r="A40" s="13">
        <v>34</v>
      </c>
      <c r="B40" s="14" t="s">
        <v>145</v>
      </c>
      <c r="C40" s="340">
        <v>14.959183673469388</v>
      </c>
      <c r="D40" s="340">
        <v>12.837127845884414</v>
      </c>
    </row>
    <row r="41" spans="1:4" ht="12.75">
      <c r="A41" s="11">
        <v>35</v>
      </c>
      <c r="B41" s="12" t="s">
        <v>146</v>
      </c>
      <c r="C41" s="339">
        <v>18.104648974214193</v>
      </c>
      <c r="D41" s="339">
        <v>15.437329481624138</v>
      </c>
    </row>
    <row r="42" spans="1:4" ht="12.75">
      <c r="A42" s="13">
        <v>36</v>
      </c>
      <c r="B42" s="14" t="s">
        <v>147</v>
      </c>
      <c r="C42" s="340">
        <v>16.669421487603305</v>
      </c>
      <c r="D42" s="340">
        <v>13.834019204389577</v>
      </c>
    </row>
    <row r="43" spans="1:4" ht="12.75">
      <c r="A43" s="11">
        <v>37</v>
      </c>
      <c r="B43" s="12" t="s">
        <v>148</v>
      </c>
      <c r="C43" s="339">
        <v>18</v>
      </c>
      <c r="D43" s="339">
        <v>15.310015898251192</v>
      </c>
    </row>
    <row r="44" spans="1:4" ht="12.75">
      <c r="A44" s="13">
        <v>38</v>
      </c>
      <c r="B44" s="14" t="s">
        <v>149</v>
      </c>
      <c r="C44" s="340">
        <v>16.5415663503753</v>
      </c>
      <c r="D44" s="340">
        <v>13.949599904454795</v>
      </c>
    </row>
    <row r="45" spans="1:4" ht="12.75">
      <c r="A45" s="11">
        <v>39</v>
      </c>
      <c r="B45" s="12" t="s">
        <v>150</v>
      </c>
      <c r="C45" s="339">
        <v>16.977656763033554</v>
      </c>
      <c r="D45" s="339">
        <v>14.428639488191658</v>
      </c>
    </row>
    <row r="46" spans="1:4" ht="12.75">
      <c r="A46" s="13">
        <v>40</v>
      </c>
      <c r="B46" s="14" t="s">
        <v>151</v>
      </c>
      <c r="C46" s="340">
        <v>19.5127906030437</v>
      </c>
      <c r="D46" s="340">
        <v>15.597471022128556</v>
      </c>
    </row>
    <row r="47" spans="1:4" ht="12.75">
      <c r="A47" s="11">
        <v>41</v>
      </c>
      <c r="B47" s="12" t="s">
        <v>152</v>
      </c>
      <c r="C47" s="339">
        <v>16.14214682655747</v>
      </c>
      <c r="D47" s="339">
        <v>13.545774359813468</v>
      </c>
    </row>
    <row r="48" spans="1:4" ht="12.75">
      <c r="A48" s="13">
        <v>42</v>
      </c>
      <c r="B48" s="14" t="s">
        <v>153</v>
      </c>
      <c r="C48" s="340">
        <v>17.145174371451745</v>
      </c>
      <c r="D48" s="340">
        <v>14.895715896279595</v>
      </c>
    </row>
    <row r="49" spans="1:4" ht="12.75">
      <c r="A49" s="11">
        <v>43</v>
      </c>
      <c r="B49" s="12" t="s">
        <v>154</v>
      </c>
      <c r="C49" s="339">
        <v>15.17543859649123</v>
      </c>
      <c r="D49" s="339">
        <v>13.217317487266554</v>
      </c>
    </row>
    <row r="50" spans="1:4" ht="12.75">
      <c r="A50" s="13">
        <v>44</v>
      </c>
      <c r="B50" s="14" t="s">
        <v>155</v>
      </c>
      <c r="C50" s="340">
        <v>15.65529396953292</v>
      </c>
      <c r="D50" s="340">
        <v>13.648337174843594</v>
      </c>
    </row>
    <row r="51" spans="1:4" ht="12.75">
      <c r="A51" s="11">
        <v>45</v>
      </c>
      <c r="B51" s="12" t="s">
        <v>156</v>
      </c>
      <c r="C51" s="339">
        <v>20.2978021978022</v>
      </c>
      <c r="D51" s="339">
        <v>16.556239015817223</v>
      </c>
    </row>
    <row r="52" spans="1:4" ht="12.75">
      <c r="A52" s="13">
        <v>46</v>
      </c>
      <c r="B52" s="14" t="s">
        <v>157</v>
      </c>
      <c r="C52" s="340">
        <v>17.114021386519283</v>
      </c>
      <c r="D52" s="340">
        <v>14.558898004659172</v>
      </c>
    </row>
    <row r="53" spans="1:4" ht="12.75">
      <c r="A53" s="11">
        <v>47</v>
      </c>
      <c r="B53" s="12" t="s">
        <v>158</v>
      </c>
      <c r="C53" s="339">
        <v>19.474969474969477</v>
      </c>
      <c r="D53" s="339">
        <v>16.506904028300813</v>
      </c>
    </row>
    <row r="54" spans="1:4" ht="12.75">
      <c r="A54" s="13">
        <v>48</v>
      </c>
      <c r="B54" s="14" t="s">
        <v>159</v>
      </c>
      <c r="C54" s="340">
        <v>14.82026421727051</v>
      </c>
      <c r="D54" s="340">
        <v>12.564774311397393</v>
      </c>
    </row>
    <row r="55" spans="1:4" ht="12.75">
      <c r="A55" s="11">
        <v>49</v>
      </c>
      <c r="B55" s="12" t="s">
        <v>160</v>
      </c>
      <c r="C55" s="339">
        <v>15.964247841236174</v>
      </c>
      <c r="D55" s="339">
        <v>12.776395094305679</v>
      </c>
    </row>
    <row r="56" spans="1:4" ht="12.75">
      <c r="A56" s="13">
        <v>50</v>
      </c>
      <c r="B56" s="14" t="s">
        <v>343</v>
      </c>
      <c r="C56" s="340">
        <v>17.517892644135188</v>
      </c>
      <c r="D56" s="340">
        <v>14.73741428332497</v>
      </c>
    </row>
    <row r="57" spans="1:4" ht="12.75">
      <c r="A57" s="11">
        <v>2264</v>
      </c>
      <c r="B57" s="12" t="s">
        <v>161</v>
      </c>
      <c r="C57" s="339">
        <v>14.555555555555555</v>
      </c>
      <c r="D57" s="339">
        <v>12.80130293159609</v>
      </c>
    </row>
    <row r="58" spans="1:4" ht="12.75">
      <c r="A58" s="13">
        <v>2309</v>
      </c>
      <c r="B58" s="14" t="s">
        <v>162</v>
      </c>
      <c r="C58" s="340">
        <v>16.55238095238095</v>
      </c>
      <c r="D58" s="340">
        <v>14.687323943661971</v>
      </c>
    </row>
    <row r="59" spans="1:4" ht="12.75">
      <c r="A59" s="11">
        <v>2312</v>
      </c>
      <c r="B59" s="12" t="s">
        <v>163</v>
      </c>
      <c r="C59" s="339">
        <v>12.428571428571429</v>
      </c>
      <c r="D59" s="339">
        <v>10.875</v>
      </c>
    </row>
    <row r="60" spans="1:4" ht="12.75">
      <c r="A60" s="13">
        <v>2355</v>
      </c>
      <c r="B60" s="14" t="s">
        <v>164</v>
      </c>
      <c r="C60" s="340">
        <v>18.298147835388168</v>
      </c>
      <c r="D60" s="340">
        <v>14.242281303602057</v>
      </c>
    </row>
    <row r="61" spans="1:4" ht="12.75">
      <c r="A61" s="11">
        <v>2439</v>
      </c>
      <c r="B61" s="12" t="s">
        <v>165</v>
      </c>
      <c r="C61" s="339">
        <v>16.556655665566556</v>
      </c>
      <c r="D61" s="339">
        <v>14.292237442922373</v>
      </c>
    </row>
    <row r="62" spans="1:4" ht="12.75">
      <c r="A62" s="13">
        <v>2460</v>
      </c>
      <c r="B62" s="14" t="s">
        <v>166</v>
      </c>
      <c r="C62" s="340">
        <v>11.834782608695651</v>
      </c>
      <c r="D62" s="340">
        <v>10.08148148148148</v>
      </c>
    </row>
    <row r="63" spans="1:4" ht="12.75">
      <c r="A63" s="11">
        <v>3000</v>
      </c>
      <c r="B63" s="12" t="s">
        <v>366</v>
      </c>
      <c r="C63" s="339">
        <v>0</v>
      </c>
      <c r="D63" s="339">
        <v>18.880764904386954</v>
      </c>
    </row>
    <row r="64" spans="1:4" ht="4.5" customHeight="1">
      <c r="A64" s="15"/>
      <c r="B64" s="15"/>
      <c r="C64" s="341"/>
      <c r="D64" s="341"/>
    </row>
    <row r="65" spans="1:5" ht="12.75">
      <c r="A65" s="17"/>
      <c r="B65" s="18" t="s">
        <v>167</v>
      </c>
      <c r="C65" s="342">
        <v>18.334659407079034</v>
      </c>
      <c r="D65" s="342">
        <v>14.919782235372189</v>
      </c>
      <c r="E65" s="74"/>
    </row>
    <row r="66" spans="1:4" ht="4.5" customHeight="1">
      <c r="A66" s="15"/>
      <c r="B66" s="15"/>
      <c r="C66" s="341"/>
      <c r="D66" s="341"/>
    </row>
    <row r="67" spans="1:4" ht="12.75">
      <c r="A67" s="13">
        <v>2155</v>
      </c>
      <c r="B67" s="14" t="s">
        <v>168</v>
      </c>
      <c r="C67" s="340">
        <v>14.24390243902439</v>
      </c>
      <c r="D67" s="340">
        <v>12.977777777777778</v>
      </c>
    </row>
    <row r="68" spans="1:4" ht="12.75">
      <c r="A68" s="11">
        <v>2408</v>
      </c>
      <c r="B68" s="12" t="s">
        <v>170</v>
      </c>
      <c r="C68" s="339">
        <v>12.141176470588235</v>
      </c>
      <c r="D68" s="339">
        <v>10.28708133971292</v>
      </c>
    </row>
    <row r="69" ht="6.75" customHeight="1"/>
    <row r="70" spans="1:5" ht="12" customHeight="1">
      <c r="A70" s="380" t="s">
        <v>354</v>
      </c>
      <c r="B70" s="267" t="s">
        <v>317</v>
      </c>
      <c r="C70" s="121"/>
      <c r="D70" s="120"/>
      <c r="E70" s="120"/>
    </row>
    <row r="71" spans="2:5" ht="12" customHeight="1">
      <c r="B71" s="267" t="s">
        <v>319</v>
      </c>
      <c r="C71" s="121"/>
      <c r="D71" s="120"/>
      <c r="E71" s="120"/>
    </row>
    <row r="72" spans="1:5" ht="12" customHeight="1">
      <c r="A72" s="4"/>
      <c r="B72" s="4" t="s">
        <v>318</v>
      </c>
      <c r="D72" s="120"/>
      <c r="E72" s="120"/>
    </row>
    <row r="73" spans="1:5" ht="12" customHeight="1">
      <c r="A73" s="380" t="s">
        <v>355</v>
      </c>
      <c r="B73" s="267" t="s">
        <v>459</v>
      </c>
      <c r="D73" s="120"/>
      <c r="E73" s="120"/>
    </row>
    <row r="74" spans="1:5" ht="12" customHeight="1">
      <c r="A74" s="4"/>
      <c r="B74" s="267" t="s">
        <v>460</v>
      </c>
      <c r="C74" s="121"/>
      <c r="D74" s="120"/>
      <c r="E74" s="120"/>
    </row>
    <row r="75" spans="1:5" ht="12" customHeight="1">
      <c r="A75" s="4"/>
      <c r="B75" s="267" t="s">
        <v>461</v>
      </c>
      <c r="C75" s="121"/>
      <c r="D75" s="120"/>
      <c r="E75" s="120"/>
    </row>
    <row r="76" ht="12.75">
      <c r="B76" s="267" t="s">
        <v>462</v>
      </c>
    </row>
  </sheetData>
  <printOptions horizontalCentered="1"/>
  <pageMargins left="0.5" right="0.5" top="0.6" bottom="0" header="0.3" footer="0"/>
  <pageSetup fitToHeight="1" fitToWidth="1" horizontalDpi="300" verticalDpi="300" orientation="portrait" scale="82"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4:K35"/>
  <sheetViews>
    <sheetView showGridLines="0" showZeros="0" workbookViewId="0" topLeftCell="A1">
      <selection activeCell="A1" sqref="A1"/>
    </sheetView>
  </sheetViews>
  <sheetFormatPr defaultColWidth="15.83203125" defaultRowHeight="12"/>
  <cols>
    <col min="1" max="1" width="5.83203125" style="79" customWidth="1"/>
    <col min="2" max="2" width="45.83203125" style="79" customWidth="1"/>
    <col min="3" max="7" width="17.83203125" style="79" customWidth="1"/>
    <col min="8" max="8" width="15.83203125" style="79" customWidth="1"/>
    <col min="9" max="9" width="2.83203125" style="79" customWidth="1"/>
    <col min="10" max="10" width="17.83203125" style="79" customWidth="1"/>
    <col min="11" max="11" width="16.83203125" style="79" customWidth="1"/>
    <col min="12" max="16384" width="15.83203125" style="79" customWidth="1"/>
  </cols>
  <sheetData>
    <row r="4" spans="1:10" ht="12.75">
      <c r="A4" s="171"/>
      <c r="B4" s="171"/>
      <c r="C4" s="171"/>
      <c r="D4" s="171"/>
      <c r="E4" s="171"/>
      <c r="F4" s="171"/>
      <c r="G4" s="171"/>
      <c r="H4" s="171"/>
      <c r="I4" s="171"/>
      <c r="J4" s="171"/>
    </row>
    <row r="6" ht="12.75">
      <c r="B6"/>
    </row>
    <row r="7" spans="3:10" ht="12.75">
      <c r="C7" s="139"/>
      <c r="D7" s="139"/>
      <c r="E7" s="139"/>
      <c r="F7" s="139"/>
      <c r="G7" s="139"/>
      <c r="H7" s="139"/>
      <c r="I7" s="139"/>
      <c r="J7" s="139"/>
    </row>
    <row r="8" spans="3:10" ht="12.75">
      <c r="C8" s="139"/>
      <c r="D8" s="139"/>
      <c r="E8" s="139"/>
      <c r="F8" s="139"/>
      <c r="G8" s="139"/>
      <c r="H8" s="139"/>
      <c r="I8" s="139"/>
      <c r="J8" s="139"/>
    </row>
    <row r="9" spans="3:10" ht="15.75">
      <c r="C9" s="313" t="str">
        <f>YEAR</f>
        <v>OPERATING FUND ACTUAL 2001/2002</v>
      </c>
      <c r="D9" s="150"/>
      <c r="E9" s="150"/>
      <c r="F9" s="150"/>
      <c r="G9" s="150"/>
      <c r="H9" s="150"/>
      <c r="I9" s="139"/>
      <c r="J9" s="139"/>
    </row>
    <row r="10" spans="3:10" ht="15.75">
      <c r="C10" s="314" t="s">
        <v>250</v>
      </c>
      <c r="D10" s="150"/>
      <c r="E10" s="150"/>
      <c r="F10" s="150"/>
      <c r="G10" s="150"/>
      <c r="H10" s="150"/>
      <c r="I10" s="139"/>
      <c r="J10" s="139"/>
    </row>
    <row r="11" spans="3:10" ht="12.75">
      <c r="C11" s="139"/>
      <c r="D11" s="139"/>
      <c r="E11" s="139"/>
      <c r="F11" s="139"/>
      <c r="G11" s="139"/>
      <c r="H11" s="139"/>
      <c r="I11" s="139"/>
      <c r="J11" s="139"/>
    </row>
    <row r="12" spans="3:10" ht="12.75">
      <c r="C12" s="139"/>
      <c r="D12" s="139"/>
      <c r="E12" s="139"/>
      <c r="F12" s="139"/>
      <c r="G12" s="139"/>
      <c r="H12" s="139"/>
      <c r="I12" s="139"/>
      <c r="J12" s="139"/>
    </row>
    <row r="13" spans="3:10" ht="12.75">
      <c r="C13" s="186" t="s">
        <v>251</v>
      </c>
      <c r="D13" s="187"/>
      <c r="E13" s="187"/>
      <c r="F13" s="187"/>
      <c r="G13" s="187"/>
      <c r="H13" s="190"/>
      <c r="I13" s="139"/>
      <c r="J13" s="139"/>
    </row>
    <row r="14" spans="3:10" ht="12.75">
      <c r="C14" s="139"/>
      <c r="D14" s="139"/>
      <c r="E14" s="139"/>
      <c r="F14" s="139"/>
      <c r="G14" s="139"/>
      <c r="H14" s="139"/>
      <c r="I14" s="139"/>
      <c r="J14" s="139"/>
    </row>
    <row r="15" spans="3:10" ht="12.75">
      <c r="C15" s="140"/>
      <c r="D15" s="140" t="s">
        <v>252</v>
      </c>
      <c r="E15" s="290"/>
      <c r="F15" s="140" t="s">
        <v>253</v>
      </c>
      <c r="G15" s="140" t="s">
        <v>224</v>
      </c>
      <c r="H15" s="291"/>
      <c r="I15" s="202"/>
      <c r="J15" s="202"/>
    </row>
    <row r="16" spans="3:10" ht="12.75">
      <c r="C16" s="144" t="s">
        <v>254</v>
      </c>
      <c r="D16" s="144" t="s">
        <v>255</v>
      </c>
      <c r="E16" s="67" t="s">
        <v>234</v>
      </c>
      <c r="F16" s="144" t="s">
        <v>256</v>
      </c>
      <c r="G16" s="144" t="s">
        <v>234</v>
      </c>
      <c r="H16" s="66" t="s">
        <v>115</v>
      </c>
      <c r="I16" s="213"/>
      <c r="J16" s="144" t="s">
        <v>257</v>
      </c>
    </row>
    <row r="18" spans="1:10" ht="12.75">
      <c r="A18" s="74">
        <v>100</v>
      </c>
      <c r="B18" s="74" t="s">
        <v>63</v>
      </c>
      <c r="C18" s="184">
        <f>'- 12 -'!C13</f>
        <v>641310928.1200001</v>
      </c>
      <c r="D18" s="286">
        <f>'- 12 -'!C23</f>
        <v>44306786.629999995</v>
      </c>
      <c r="E18" s="286">
        <f>'- 12 -'!C25</f>
        <v>18733569.73</v>
      </c>
      <c r="F18" s="286">
        <f>'- 12 -'!C42</f>
        <v>52305324.58</v>
      </c>
      <c r="G18" s="285"/>
      <c r="H18" s="292"/>
      <c r="J18" s="184">
        <f>SUM(C18:F18)</f>
        <v>756656609.0600002</v>
      </c>
    </row>
    <row r="19" spans="1:10" ht="24" customHeight="1">
      <c r="A19" s="74">
        <v>200</v>
      </c>
      <c r="B19" s="74" t="s">
        <v>64</v>
      </c>
      <c r="C19" s="184">
        <f>'- 12 -'!E13</f>
        <v>154515788.29999998</v>
      </c>
      <c r="D19" s="286">
        <f>'- 12 -'!E23</f>
        <v>14108369.020000001</v>
      </c>
      <c r="E19" s="286">
        <f>'- 12 -'!E25</f>
        <v>8575262.72</v>
      </c>
      <c r="F19" s="286">
        <f>'- 12 -'!E42</f>
        <v>2718125.46</v>
      </c>
      <c r="G19" s="285"/>
      <c r="H19" s="292"/>
      <c r="J19" s="184">
        <f>SUM(C19:F19)</f>
        <v>179917545.5</v>
      </c>
    </row>
    <row r="20" spans="1:10" ht="24" customHeight="1">
      <c r="A20" s="74">
        <v>300</v>
      </c>
      <c r="B20" s="74" t="s">
        <v>464</v>
      </c>
      <c r="C20" s="184">
        <f>'- 12 -'!G13</f>
        <v>4718696.98</v>
      </c>
      <c r="D20" s="286">
        <f>'- 12 -'!G23</f>
        <v>320716.49</v>
      </c>
      <c r="E20" s="286">
        <f>'- 12 -'!G25</f>
        <v>1441883.0999999999</v>
      </c>
      <c r="F20" s="286">
        <f>'- 12 -'!G42</f>
        <v>783785.51</v>
      </c>
      <c r="G20" s="285"/>
      <c r="H20" s="292"/>
      <c r="J20" s="184">
        <f>SUM(C20:F20)</f>
        <v>7265082.08</v>
      </c>
    </row>
    <row r="21" spans="1:10" ht="24" customHeight="1">
      <c r="A21" s="74">
        <v>400</v>
      </c>
      <c r="B21" s="74" t="s">
        <v>258</v>
      </c>
      <c r="C21" s="184">
        <f>'- 12 -'!I13</f>
        <v>6648629.449999999</v>
      </c>
      <c r="D21" s="286">
        <f>'- 12 -'!I23</f>
        <v>520448.52</v>
      </c>
      <c r="E21" s="286">
        <f>'- 12 -'!I25</f>
        <v>1020340.4400000001</v>
      </c>
      <c r="F21" s="286">
        <f>'- 12 -'!I42</f>
        <v>611278.56</v>
      </c>
      <c r="G21" s="285"/>
      <c r="H21" s="292"/>
      <c r="J21" s="184">
        <f>SUM(C21:F21)</f>
        <v>8800696.969999999</v>
      </c>
    </row>
    <row r="22" spans="1:10" ht="24" customHeight="1">
      <c r="A22" s="74">
        <v>500</v>
      </c>
      <c r="B22" s="74" t="s">
        <v>339</v>
      </c>
      <c r="C22" s="184">
        <f>'- 12 -'!K13</f>
        <v>29997920.590000004</v>
      </c>
      <c r="D22" s="286">
        <f>'- 12 -'!K23</f>
        <v>3306013.14</v>
      </c>
      <c r="E22" s="286">
        <f>'- 12 -'!K25</f>
        <v>11820924.810000002</v>
      </c>
      <c r="F22" s="286">
        <f>'- 12 -'!K42</f>
        <v>2768299.82</v>
      </c>
      <c r="G22" s="285"/>
      <c r="H22" s="292"/>
      <c r="J22" s="184">
        <f>SUM(C22:F22)</f>
        <v>47893158.36000001</v>
      </c>
    </row>
    <row r="23" spans="1:11" ht="12" customHeight="1">
      <c r="A23" s="74"/>
      <c r="B23" s="74"/>
      <c r="C23" s="184"/>
      <c r="D23" s="286"/>
      <c r="E23" s="286"/>
      <c r="F23" s="286"/>
      <c r="G23" s="285"/>
      <c r="H23" s="292"/>
      <c r="J23" s="184"/>
      <c r="K23" s="448" t="s">
        <v>360</v>
      </c>
    </row>
    <row r="24" spans="1:11" ht="24" customHeight="1">
      <c r="A24" s="293">
        <v>600</v>
      </c>
      <c r="B24" s="294" t="s">
        <v>313</v>
      </c>
      <c r="C24" s="184">
        <f>'- 13 -'!C13</f>
        <v>49498860.66</v>
      </c>
      <c r="D24" s="286">
        <f>'- 13 -'!C23</f>
        <v>3849621.84</v>
      </c>
      <c r="E24" s="286">
        <f>'- 13 -'!C25</f>
        <v>7235161.17</v>
      </c>
      <c r="F24" s="286">
        <f>'- 13 -'!C42</f>
        <v>6301325.319999999</v>
      </c>
      <c r="G24" s="285"/>
      <c r="H24" s="292"/>
      <c r="J24" s="184">
        <f>SUM(C24:F24)</f>
        <v>66884968.99</v>
      </c>
      <c r="K24" s="449"/>
    </row>
    <row r="25" spans="1:11" ht="24" customHeight="1">
      <c r="A25" s="74">
        <v>700</v>
      </c>
      <c r="B25" s="74" t="s">
        <v>259</v>
      </c>
      <c r="C25" s="184">
        <f>'- 13 -'!E13</f>
        <v>24163588.4</v>
      </c>
      <c r="D25" s="286">
        <f>'- 13 -'!E23</f>
        <v>3151178.76</v>
      </c>
      <c r="E25" s="286">
        <f>'- 13 -'!E25</f>
        <v>14174479.75</v>
      </c>
      <c r="F25" s="286">
        <f>'- 13 -'!E42</f>
        <v>9567798.17</v>
      </c>
      <c r="G25" s="285"/>
      <c r="H25" s="292"/>
      <c r="J25" s="184">
        <f>SUM(C25:F25)</f>
        <v>51057045.08</v>
      </c>
      <c r="K25" s="394"/>
    </row>
    <row r="26" spans="1:10" ht="24" customHeight="1">
      <c r="A26" s="74">
        <v>800</v>
      </c>
      <c r="B26" s="74" t="s">
        <v>260</v>
      </c>
      <c r="C26" s="184">
        <f>'- 13 -'!G13</f>
        <v>66612202.13999999</v>
      </c>
      <c r="D26" s="286">
        <f>'- 13 -'!G23</f>
        <v>9506944.08</v>
      </c>
      <c r="E26" s="286">
        <f>'- 13 -'!G25</f>
        <v>64050263.31999999</v>
      </c>
      <c r="F26" s="286">
        <f>'- 13 -'!G42</f>
        <v>15214824.440000001</v>
      </c>
      <c r="G26" s="285"/>
      <c r="H26" s="251"/>
      <c r="J26" s="184">
        <f>SUM(C26:F26)</f>
        <v>155384233.98</v>
      </c>
    </row>
    <row r="27" spans="1:10" ht="24" customHeight="1">
      <c r="A27" s="74">
        <v>900</v>
      </c>
      <c r="B27" s="74" t="s">
        <v>69</v>
      </c>
      <c r="C27" s="184"/>
      <c r="D27" s="286"/>
      <c r="E27" s="286"/>
      <c r="F27" s="286"/>
      <c r="G27" s="286">
        <v>2319420.45</v>
      </c>
      <c r="H27" s="148">
        <v>21383025.02</v>
      </c>
      <c r="I27" s="388" t="s">
        <v>354</v>
      </c>
      <c r="J27" s="184">
        <f>SUM(G27:H27)</f>
        <v>23702445.47</v>
      </c>
    </row>
    <row r="28" spans="1:10" ht="12.75">
      <c r="A28" s="74"/>
      <c r="B28" s="74"/>
      <c r="C28" s="184"/>
      <c r="D28" s="286"/>
      <c r="E28" s="286"/>
      <c r="F28" s="286"/>
      <c r="G28" s="286"/>
      <c r="H28" s="295"/>
      <c r="J28" s="184"/>
    </row>
    <row r="29" spans="2:10" ht="12.75">
      <c r="B29" s="74"/>
      <c r="C29" s="148"/>
      <c r="D29" s="148"/>
      <c r="E29" s="148"/>
      <c r="F29" s="148"/>
      <c r="G29" s="148"/>
      <c r="H29" s="148"/>
      <c r="J29" s="148"/>
    </row>
    <row r="30" spans="2:10" ht="12.75">
      <c r="B30" s="74" t="s">
        <v>257</v>
      </c>
      <c r="C30" s="288">
        <f>SUM(C18:C27)</f>
        <v>977466614.6400001</v>
      </c>
      <c r="D30" s="296">
        <f>SUM(D18:D27)</f>
        <v>79070078.48</v>
      </c>
      <c r="E30" s="296">
        <f>SUM(E18:E27)</f>
        <v>127051885.04</v>
      </c>
      <c r="F30" s="296">
        <f>SUM(F18:F27)</f>
        <v>90270761.86</v>
      </c>
      <c r="G30" s="296">
        <f>G27</f>
        <v>2319420.45</v>
      </c>
      <c r="H30" s="297">
        <f>H27</f>
        <v>21383025.02</v>
      </c>
      <c r="I30" s="298"/>
      <c r="J30" s="288">
        <f>SUM(J18:J27)</f>
        <v>1297561785.4900002</v>
      </c>
    </row>
    <row r="31" spans="3:8" ht="12.75">
      <c r="C31" s="148"/>
      <c r="D31" s="148"/>
      <c r="E31" s="148"/>
      <c r="F31" s="148"/>
      <c r="G31" s="148"/>
      <c r="H31" s="148"/>
    </row>
    <row r="32" ht="60" customHeight="1"/>
    <row r="33" spans="1:3" ht="12.75">
      <c r="A33" s="380" t="s">
        <v>354</v>
      </c>
      <c r="B33" s="4" t="s">
        <v>499</v>
      </c>
      <c r="C33" s="74"/>
    </row>
    <row r="34" spans="1:10" ht="12.75">
      <c r="A34" s="380" t="s">
        <v>355</v>
      </c>
      <c r="B34" s="4" t="s">
        <v>463</v>
      </c>
      <c r="C34" s="148"/>
      <c r="J34" s="148"/>
    </row>
    <row r="35" spans="2:3" ht="12.75">
      <c r="B35" s="4"/>
      <c r="C35" s="148"/>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mergeCells count="1">
    <mergeCell ref="K23:K24"/>
  </mergeCells>
  <printOptions verticalCentered="1"/>
  <pageMargins left="0.4" right="0" top="0.3" bottom="0.3" header="0" footer="0"/>
  <pageSetup fitToHeight="1" fitToWidth="1" horizontalDpi="300" verticalDpi="300" orientation="landscape" scale="8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M56"/>
  <sheetViews>
    <sheetView showGridLines="0" showZeros="0" workbookViewId="0" topLeftCell="A1">
      <selection activeCell="A1" sqref="A1"/>
    </sheetView>
  </sheetViews>
  <sheetFormatPr defaultColWidth="15.83203125" defaultRowHeight="12"/>
  <cols>
    <col min="1" max="1" width="6.83203125" style="79" customWidth="1"/>
    <col min="2" max="2" width="52.83203125" style="79" customWidth="1"/>
    <col min="3" max="3" width="15.83203125" style="79" customWidth="1"/>
    <col min="4" max="4" width="8.83203125" style="79" customWidth="1"/>
    <col min="5" max="5" width="15.83203125" style="79" customWidth="1"/>
    <col min="6" max="6" width="8.83203125" style="79" customWidth="1"/>
    <col min="7" max="7" width="15.83203125" style="79" customWidth="1"/>
    <col min="8" max="8" width="8.83203125" style="79" customWidth="1"/>
    <col min="9" max="9" width="15.83203125" style="79" customWidth="1"/>
    <col min="10" max="10" width="8.83203125" style="79" customWidth="1"/>
    <col min="11" max="11" width="15.83203125" style="79" customWidth="1"/>
    <col min="12" max="12" width="8.83203125" style="79" customWidth="1"/>
    <col min="13" max="13" width="10.83203125" style="79" customWidth="1"/>
    <col min="14" max="16384" width="15.83203125" style="79" customWidth="1"/>
  </cols>
  <sheetData>
    <row r="2" spans="1:12" ht="12.75">
      <c r="A2" s="171"/>
      <c r="B2" s="171"/>
      <c r="C2" s="171"/>
      <c r="D2" s="171"/>
      <c r="E2" s="123" t="str">
        <f>YEAR</f>
        <v>OPERATING FUND ACTUAL 2001/2002</v>
      </c>
      <c r="F2" s="123"/>
      <c r="G2" s="123"/>
      <c r="H2" s="123"/>
      <c r="I2" s="104"/>
      <c r="J2" s="104"/>
      <c r="K2" s="282"/>
      <c r="L2" s="105" t="s">
        <v>7</v>
      </c>
    </row>
    <row r="3" spans="11:12" ht="12.75">
      <c r="K3" s="170"/>
      <c r="L3" s="170"/>
    </row>
    <row r="4" spans="3:12" ht="15.75">
      <c r="C4" s="315" t="s">
        <v>262</v>
      </c>
      <c r="D4" s="170"/>
      <c r="E4" s="170"/>
      <c r="F4" s="170"/>
      <c r="G4" s="170"/>
      <c r="H4" s="170"/>
      <c r="I4" s="170"/>
      <c r="J4" s="170"/>
      <c r="K4" s="170"/>
      <c r="L4" s="170"/>
    </row>
    <row r="5" spans="3:12" ht="15.75">
      <c r="C5" s="315" t="s">
        <v>263</v>
      </c>
      <c r="D5" s="170"/>
      <c r="E5" s="170"/>
      <c r="F5" s="170"/>
      <c r="G5" s="170"/>
      <c r="H5" s="170"/>
      <c r="I5" s="170"/>
      <c r="J5" s="170"/>
      <c r="K5" s="170"/>
      <c r="L5" s="170"/>
    </row>
    <row r="7" spans="3:12" ht="12.75">
      <c r="C7" s="122" t="s">
        <v>264</v>
      </c>
      <c r="D7" s="104"/>
      <c r="E7" s="104"/>
      <c r="F7" s="104"/>
      <c r="G7" s="104"/>
      <c r="H7" s="104"/>
      <c r="I7" s="104"/>
      <c r="J7" s="104"/>
      <c r="K7" s="104"/>
      <c r="L7" s="129"/>
    </row>
    <row r="8" ht="9" customHeight="1"/>
    <row r="9" spans="1:12" ht="12.75">
      <c r="A9" s="139"/>
      <c r="B9" s="139"/>
      <c r="C9" s="64" t="s">
        <v>80</v>
      </c>
      <c r="D9" s="63"/>
      <c r="E9" s="180"/>
      <c r="F9" s="63"/>
      <c r="G9" s="62" t="s">
        <v>422</v>
      </c>
      <c r="H9" s="63"/>
      <c r="I9" s="62" t="s">
        <v>74</v>
      </c>
      <c r="J9" s="63"/>
      <c r="K9" s="62" t="s">
        <v>336</v>
      </c>
      <c r="L9" s="63"/>
    </row>
    <row r="10" spans="1:12" ht="16.5">
      <c r="A10" s="139"/>
      <c r="B10" s="139"/>
      <c r="C10" s="65" t="s">
        <v>265</v>
      </c>
      <c r="D10" s="67"/>
      <c r="E10" s="66" t="s">
        <v>64</v>
      </c>
      <c r="F10" s="67"/>
      <c r="G10" s="66" t="s">
        <v>467</v>
      </c>
      <c r="H10" s="67"/>
      <c r="I10" s="66" t="s">
        <v>99</v>
      </c>
      <c r="J10" s="67"/>
      <c r="K10" s="66" t="s">
        <v>38</v>
      </c>
      <c r="L10" s="67"/>
    </row>
    <row r="11" spans="1:12" ht="12.75">
      <c r="A11" s="139"/>
      <c r="B11" s="139"/>
      <c r="C11" s="284" t="s">
        <v>103</v>
      </c>
      <c r="D11" s="284" t="s">
        <v>104</v>
      </c>
      <c r="E11" s="284" t="s">
        <v>103</v>
      </c>
      <c r="F11" s="284" t="s">
        <v>104</v>
      </c>
      <c r="G11" s="284" t="s">
        <v>103</v>
      </c>
      <c r="H11" s="284" t="s">
        <v>104</v>
      </c>
      <c r="I11" s="284" t="s">
        <v>103</v>
      </c>
      <c r="J11" s="284" t="s">
        <v>104</v>
      </c>
      <c r="K11" s="284" t="s">
        <v>103</v>
      </c>
      <c r="L11" s="255" t="s">
        <v>104</v>
      </c>
    </row>
    <row r="12" spans="1:12" ht="4.5" customHeight="1">
      <c r="A12" s="139"/>
      <c r="B12" s="139"/>
      <c r="C12" s="139"/>
      <c r="D12" s="139"/>
      <c r="E12" s="139"/>
      <c r="F12" s="139"/>
      <c r="G12" s="139"/>
      <c r="H12" s="139"/>
      <c r="I12" s="139"/>
      <c r="J12" s="139"/>
      <c r="K12" s="139"/>
      <c r="L12" s="139"/>
    </row>
    <row r="13" spans="1:12" ht="12.75">
      <c r="A13" s="178">
        <v>300</v>
      </c>
      <c r="B13" s="324" t="s">
        <v>254</v>
      </c>
      <c r="C13" s="319">
        <f>SUM(C14:C21)</f>
        <v>641310928.1200001</v>
      </c>
      <c r="D13" s="320">
        <f>C13/'- 13 -'!$K$54</f>
        <v>0.4942430759686876</v>
      </c>
      <c r="E13" s="319">
        <f>SUM(E14:E21)</f>
        <v>154515788.29999998</v>
      </c>
      <c r="F13" s="320">
        <f>E13/'- 13 -'!$K$54</f>
        <v>0.11908164222149155</v>
      </c>
      <c r="G13" s="319">
        <f>SUM(G14:G21)</f>
        <v>4718696.98</v>
      </c>
      <c r="H13" s="320">
        <f>G13/'- 13 -'!$K$54</f>
        <v>0.0036365875080222646</v>
      </c>
      <c r="I13" s="319">
        <f>SUM(I14:I21)</f>
        <v>6648629.449999999</v>
      </c>
      <c r="J13" s="320">
        <f>I13/'- 13 -'!$K$54</f>
        <v>0.0051239405509227965</v>
      </c>
      <c r="K13" s="319">
        <f>SUM(K14:K21)</f>
        <v>29997920.590000004</v>
      </c>
      <c r="L13" s="320">
        <f>K13/'- 13 -'!$K$54</f>
        <v>0.02311868376939896</v>
      </c>
    </row>
    <row r="14" spans="1:12" ht="12.75">
      <c r="A14" s="139"/>
      <c r="B14" s="305" t="s">
        <v>266</v>
      </c>
      <c r="C14" s="319"/>
      <c r="D14" s="320"/>
      <c r="E14" s="319"/>
      <c r="F14" s="320"/>
      <c r="G14" s="319"/>
      <c r="H14" s="320"/>
      <c r="I14" s="319"/>
      <c r="J14" s="320"/>
      <c r="K14" s="319">
        <v>3251154.07</v>
      </c>
      <c r="L14" s="320"/>
    </row>
    <row r="15" spans="1:12" ht="12.75">
      <c r="A15" s="139"/>
      <c r="B15" s="305" t="s">
        <v>267</v>
      </c>
      <c r="C15" s="319">
        <v>50648293.97</v>
      </c>
      <c r="D15" s="320">
        <f>C15/'- 13 -'!$K$54</f>
        <v>0.039033435275587745</v>
      </c>
      <c r="E15" s="319">
        <v>5566235.66</v>
      </c>
      <c r="F15" s="320">
        <f>E15/'- 13 -'!$K$54</f>
        <v>0.004289765406352511</v>
      </c>
      <c r="G15" s="319">
        <v>387366.14</v>
      </c>
      <c r="H15" s="320">
        <f>G15/'- 13 -'!$K$54</f>
        <v>0.000298533868931504</v>
      </c>
      <c r="I15" s="319">
        <v>547798.18</v>
      </c>
      <c r="J15" s="320">
        <f>I15/'- 13 -'!$K$54</f>
        <v>0.00042217502559474204</v>
      </c>
      <c r="K15" s="319">
        <v>14432827.66</v>
      </c>
      <c r="L15" s="320">
        <f>K15/'- 13 -'!$K$54</f>
        <v>0.011123036930799954</v>
      </c>
    </row>
    <row r="16" spans="1:12" ht="12.75">
      <c r="A16" s="139"/>
      <c r="B16" s="305" t="s">
        <v>268</v>
      </c>
      <c r="C16" s="319">
        <v>544346252.59</v>
      </c>
      <c r="D16" s="320">
        <f>C16/'- 13 -'!$K$54</f>
        <v>0.41951470725876666</v>
      </c>
      <c r="E16" s="319">
        <v>62622485.94</v>
      </c>
      <c r="F16" s="320">
        <f>E16/'- 13 -'!$K$54</f>
        <v>0.048261660169308836</v>
      </c>
      <c r="G16" s="319">
        <v>3523249.4</v>
      </c>
      <c r="H16" s="320">
        <f>G16/'- 13 -'!$K$54</f>
        <v>0.0027152844969686816</v>
      </c>
      <c r="I16" s="319">
        <v>4286444.17</v>
      </c>
      <c r="J16" s="320">
        <f>I16/'- 13 -'!$K$54</f>
        <v>0.0033034605503438922</v>
      </c>
      <c r="K16" s="319"/>
      <c r="L16" s="320">
        <f>K16/'- 13 -'!$K$54</f>
        <v>0</v>
      </c>
    </row>
    <row r="17" spans="1:12" ht="12.75">
      <c r="A17" s="139"/>
      <c r="B17" s="305" t="s">
        <v>269</v>
      </c>
      <c r="C17" s="319">
        <v>15278919.979999999</v>
      </c>
      <c r="D17" s="320">
        <f>C17/'- 13 -'!$K$54</f>
        <v>0.01177510015388608</v>
      </c>
      <c r="E17" s="319">
        <v>68243157.57</v>
      </c>
      <c r="F17" s="320">
        <f>E17/'- 13 -'!$K$54</f>
        <v>0.05259337808274712</v>
      </c>
      <c r="G17" s="319">
        <v>398486.44</v>
      </c>
      <c r="H17" s="320">
        <f>G17/'- 13 -'!$K$54</f>
        <v>0.00030710401959743207</v>
      </c>
      <c r="I17" s="319">
        <v>747346</v>
      </c>
      <c r="J17" s="320">
        <f>I17/'- 13 -'!$K$54</f>
        <v>0.0005759617833672395</v>
      </c>
      <c r="K17" s="319"/>
      <c r="L17" s="320">
        <f>K17/'- 13 -'!$K$54</f>
        <v>0</v>
      </c>
    </row>
    <row r="18" spans="1:12" ht="12.75">
      <c r="A18" s="139"/>
      <c r="B18" s="305" t="s">
        <v>270</v>
      </c>
      <c r="C18" s="319">
        <v>2037805</v>
      </c>
      <c r="D18" s="320">
        <f>C18/'- 13 -'!$K$54</f>
        <v>0.0015704878355603394</v>
      </c>
      <c r="E18" s="319">
        <v>1796863</v>
      </c>
      <c r="F18" s="320">
        <f>E18/'- 13 -'!$K$54</f>
        <v>0.0013847995680001072</v>
      </c>
      <c r="G18" s="319">
        <v>125003</v>
      </c>
      <c r="H18" s="320">
        <f>G18/'- 13 -'!$K$54</f>
        <v>9.633683836704155E-05</v>
      </c>
      <c r="I18" s="319">
        <v>513587</v>
      </c>
      <c r="J18" s="320">
        <f>I18/'- 13 -'!$K$54</f>
        <v>0.0003958092830285175</v>
      </c>
      <c r="K18" s="319">
        <v>2065563.1</v>
      </c>
      <c r="L18" s="320">
        <f>K18/'- 13 -'!$K$54</f>
        <v>0.0015918803428847733</v>
      </c>
    </row>
    <row r="19" spans="2:12" ht="12.75">
      <c r="B19" s="306" t="s">
        <v>271</v>
      </c>
      <c r="C19" s="321">
        <v>23670733.12</v>
      </c>
      <c r="D19" s="322">
        <f>C19/'- 13 -'!$K$54</f>
        <v>0.018242470905584805</v>
      </c>
      <c r="E19" s="319">
        <v>1693919.81</v>
      </c>
      <c r="F19" s="322">
        <f>E19/'- 13 -'!$K$54</f>
        <v>0.001305463700412788</v>
      </c>
      <c r="G19" s="319">
        <v>280325</v>
      </c>
      <c r="H19" s="322">
        <f>G19/'- 13 -'!$K$54</f>
        <v>0.00021603980876651698</v>
      </c>
      <c r="I19" s="319">
        <v>424858</v>
      </c>
      <c r="J19" s="322">
        <f>I19/'- 13 -'!$K$54</f>
        <v>0.00032742795352867164</v>
      </c>
      <c r="K19" s="319">
        <v>9617307.280000001</v>
      </c>
      <c r="L19" s="322">
        <f>K19/'- 13 -'!$K$54</f>
        <v>0.007411829931757895</v>
      </c>
    </row>
    <row r="20" spans="2:12" ht="12.75">
      <c r="B20" s="306" t="s">
        <v>314</v>
      </c>
      <c r="C20" s="323"/>
      <c r="D20" s="322"/>
      <c r="E20" s="319">
        <v>14570106.32</v>
      </c>
      <c r="F20" s="322">
        <f>E20/'- 13 -'!$K$54</f>
        <v>0.011228834328299726</v>
      </c>
      <c r="G20" s="321"/>
      <c r="H20" s="322"/>
      <c r="I20" s="319">
        <v>117036.1</v>
      </c>
      <c r="J20" s="322">
        <f>I20/'- 13 -'!$K$54</f>
        <v>9.019693806395777E-05</v>
      </c>
      <c r="K20" s="321"/>
      <c r="L20" s="322"/>
    </row>
    <row r="21" spans="2:12" ht="12.75">
      <c r="B21" s="349" t="s">
        <v>344</v>
      </c>
      <c r="C21" s="321">
        <v>5328923.46</v>
      </c>
      <c r="D21" s="322">
        <f>C21/'- 13 -'!$K$54</f>
        <v>0.004106874539301903</v>
      </c>
      <c r="E21" s="321">
        <v>23020</v>
      </c>
      <c r="F21" s="322">
        <f>E21/'- 13 -'!$K$54</f>
        <v>1.774096637048148E-05</v>
      </c>
      <c r="G21" s="321">
        <v>4267</v>
      </c>
      <c r="H21" s="322">
        <f>G21/'- 13 -'!$K$54</f>
        <v>3.2884753910879446E-06</v>
      </c>
      <c r="I21" s="321">
        <v>11560</v>
      </c>
      <c r="J21" s="322">
        <f>I21/'- 13 -'!$K$54</f>
        <v>8.909016995776105E-06</v>
      </c>
      <c r="K21" s="321">
        <v>631068.48</v>
      </c>
      <c r="L21" s="322">
        <f>K21/'- 13 -'!$K$54</f>
        <v>0.00048634946486320003</v>
      </c>
    </row>
    <row r="22" spans="3:12" ht="4.5" customHeight="1">
      <c r="C22" s="321"/>
      <c r="D22" s="322"/>
      <c r="E22" s="321"/>
      <c r="F22" s="322"/>
      <c r="G22" s="321"/>
      <c r="H22" s="322"/>
      <c r="I22" s="321"/>
      <c r="J22" s="322"/>
      <c r="K22" s="321"/>
      <c r="L22" s="322"/>
    </row>
    <row r="23" spans="1:12" ht="12.75">
      <c r="A23" s="74">
        <v>400</v>
      </c>
      <c r="B23" s="325" t="s">
        <v>272</v>
      </c>
      <c r="C23" s="321">
        <v>44306786.629999995</v>
      </c>
      <c r="D23" s="322">
        <f>C23/'- 13 -'!$K$54</f>
        <v>0.03414618642862417</v>
      </c>
      <c r="E23" s="319">
        <v>14108369.020000001</v>
      </c>
      <c r="F23" s="322">
        <f>E23/'- 13 -'!$K$54</f>
        <v>0.010872984375593519</v>
      </c>
      <c r="G23" s="319">
        <v>320716.49</v>
      </c>
      <c r="H23" s="322">
        <f>G23/'- 13 -'!$K$54</f>
        <v>0.0002471685692245378</v>
      </c>
      <c r="I23" s="319">
        <v>520448.52</v>
      </c>
      <c r="J23" s="322">
        <f>I23/'- 13 -'!$K$54</f>
        <v>0.0004010972932618097</v>
      </c>
      <c r="K23" s="319">
        <v>3306013.14</v>
      </c>
      <c r="L23" s="322">
        <f>K23/'- 13 -'!$K$54</f>
        <v>0.0025478656792836613</v>
      </c>
    </row>
    <row r="24" spans="3:12" ht="4.5" customHeight="1">
      <c r="C24" s="321"/>
      <c r="D24" s="322"/>
      <c r="E24" s="321"/>
      <c r="F24" s="322"/>
      <c r="G24" s="321"/>
      <c r="H24" s="322"/>
      <c r="I24" s="321"/>
      <c r="J24" s="322"/>
      <c r="K24" s="321"/>
      <c r="L24" s="322"/>
    </row>
    <row r="25" spans="1:12" ht="12.75">
      <c r="A25" s="326" t="s">
        <v>273</v>
      </c>
      <c r="B25" s="325" t="s">
        <v>234</v>
      </c>
      <c r="C25" s="321">
        <f>SUM(C26:C40)</f>
        <v>18733569.73</v>
      </c>
      <c r="D25" s="322">
        <f>C25/'- 13 -'!$K$54</f>
        <v>0.014437516532536918</v>
      </c>
      <c r="E25" s="321">
        <f>SUM(E26:E40)</f>
        <v>8575262.72</v>
      </c>
      <c r="F25" s="322">
        <f>E25/'- 13 -'!$K$54</f>
        <v>0.006608750978868964</v>
      </c>
      <c r="G25" s="321">
        <f>SUM(G26:G40)</f>
        <v>1441883.0999999999</v>
      </c>
      <c r="H25" s="322">
        <f>G25/'- 13 -'!$K$54</f>
        <v>0.0011112250037908595</v>
      </c>
      <c r="I25" s="321">
        <f>SUM(I26:I40)</f>
        <v>1020340.4400000001</v>
      </c>
      <c r="J25" s="322">
        <f>I25/'- 13 -'!$K$54</f>
        <v>0.0007863521039305942</v>
      </c>
      <c r="K25" s="321">
        <f>SUM(K26:K40)</f>
        <v>11820924.810000002</v>
      </c>
      <c r="L25" s="322">
        <f>K25/'- 13 -'!$K$54</f>
        <v>0.009110105539626422</v>
      </c>
    </row>
    <row r="26" spans="2:12" ht="12.75">
      <c r="B26" s="306" t="s">
        <v>274</v>
      </c>
      <c r="C26" s="321">
        <v>2102526.07</v>
      </c>
      <c r="D26" s="322">
        <f>C26/'- 13 -'!$K$54</f>
        <v>0.0016203668245408597</v>
      </c>
      <c r="E26" s="319">
        <v>6803802.67</v>
      </c>
      <c r="F26" s="322">
        <f>E26/'- 13 -'!$K$54</f>
        <v>0.0052435288601156435</v>
      </c>
      <c r="G26" s="319">
        <v>260527.9</v>
      </c>
      <c r="H26" s="322">
        <f>G26/'- 13 -'!$K$54</f>
        <v>0.00020078265475552399</v>
      </c>
      <c r="I26" s="319">
        <v>702080</v>
      </c>
      <c r="J26" s="322">
        <f>I26/'- 13 -'!$K$54</f>
        <v>0.0005410763540133639</v>
      </c>
      <c r="K26" s="319">
        <v>3142736.89</v>
      </c>
      <c r="L26" s="322">
        <f>K26/'- 13 -'!$K$54</f>
        <v>0.002422032557635168</v>
      </c>
    </row>
    <row r="27" spans="2:12" ht="12.75">
      <c r="B27" s="306" t="s">
        <v>275</v>
      </c>
      <c r="C27" s="321">
        <v>3471548.74</v>
      </c>
      <c r="D27" s="322">
        <f>C27/'- 13 -'!$K$54</f>
        <v>0.0026754400282288167</v>
      </c>
      <c r="E27" s="319">
        <v>154329</v>
      </c>
      <c r="F27" s="322">
        <f>E27/'- 13 -'!$K$54</f>
        <v>0.00011893768892224312</v>
      </c>
      <c r="G27" s="319">
        <v>73332.66</v>
      </c>
      <c r="H27" s="322">
        <f>G27/'- 13 -'!$K$54</f>
        <v>5.651573652988499E-05</v>
      </c>
      <c r="I27" s="319">
        <v>42190.42</v>
      </c>
      <c r="J27" s="322">
        <f>I27/'- 13 -'!$K$54</f>
        <v>3.251515301374845E-05</v>
      </c>
      <c r="K27" s="319">
        <v>1206534.17</v>
      </c>
      <c r="L27" s="322">
        <f>K27/'- 13 -'!$K$54</f>
        <v>0.0009298471822244477</v>
      </c>
    </row>
    <row r="28" spans="2:12" ht="12.75" customHeight="1">
      <c r="B28" s="306" t="s">
        <v>276</v>
      </c>
      <c r="C28" s="321"/>
      <c r="D28" s="322">
        <f>C28/'- 13 -'!$K$54</f>
        <v>0</v>
      </c>
      <c r="E28" s="321"/>
      <c r="F28" s="322">
        <f>E28/'- 13 -'!$K$54</f>
        <v>0</v>
      </c>
      <c r="G28" s="319">
        <v>61921.43</v>
      </c>
      <c r="H28" s="322">
        <f>G28/'- 13 -'!$K$54</f>
        <v>4.7721373033975806E-05</v>
      </c>
      <c r="I28" s="321"/>
      <c r="J28" s="322">
        <f>I28/'- 13 -'!$K$54</f>
        <v>0</v>
      </c>
      <c r="K28" s="321"/>
      <c r="L28" s="322">
        <f>K28/'- 13 -'!$K$54</f>
        <v>0</v>
      </c>
    </row>
    <row r="29" spans="2:13" ht="12.75" customHeight="1">
      <c r="B29" s="306" t="s">
        <v>277</v>
      </c>
      <c r="C29" s="321">
        <v>1634563.34</v>
      </c>
      <c r="D29" s="322">
        <f>C29/'- 13 -'!$K$54</f>
        <v>0.001259719081032228</v>
      </c>
      <c r="E29" s="319">
        <v>1172959.81</v>
      </c>
      <c r="F29" s="322">
        <f>E29/'- 13 -'!$K$54</f>
        <v>0.0009039722216827258</v>
      </c>
      <c r="G29" s="319">
        <v>42043.44</v>
      </c>
      <c r="H29" s="322">
        <f>G29/'- 13 -'!$K$54</f>
        <v>3.240187902429869E-05</v>
      </c>
      <c r="I29" s="319">
        <v>51242.55</v>
      </c>
      <c r="J29" s="322">
        <f>I29/'- 13 -'!$K$54</f>
        <v>3.94914142609781E-05</v>
      </c>
      <c r="K29" s="319">
        <v>2376603.39</v>
      </c>
      <c r="L29" s="322">
        <f>K29/'- 13 -'!$K$54</f>
        <v>0.0018315916949592653</v>
      </c>
      <c r="M29" s="450" t="s">
        <v>466</v>
      </c>
    </row>
    <row r="30" spans="2:13" ht="12.75" customHeight="1">
      <c r="B30" s="306" t="s">
        <v>278</v>
      </c>
      <c r="C30" s="321"/>
      <c r="D30" s="322">
        <f>C30/'- 13 -'!$K$54</f>
        <v>0</v>
      </c>
      <c r="E30" s="321"/>
      <c r="F30" s="322">
        <f>E30/'- 13 -'!$K$54</f>
        <v>0</v>
      </c>
      <c r="G30" s="321"/>
      <c r="H30" s="322">
        <f>G30/'- 13 -'!$K$54</f>
        <v>0</v>
      </c>
      <c r="I30" s="321"/>
      <c r="J30" s="322">
        <f>I30/'- 13 -'!$K$54</f>
        <v>0</v>
      </c>
      <c r="K30" s="321"/>
      <c r="L30" s="322">
        <f>K30/'- 13 -'!$K$54</f>
        <v>0</v>
      </c>
      <c r="M30" s="451"/>
    </row>
    <row r="31" spans="2:13" ht="12.75" customHeight="1">
      <c r="B31" s="306" t="s">
        <v>279</v>
      </c>
      <c r="C31" s="321">
        <v>231579</v>
      </c>
      <c r="D31" s="322">
        <f>C31/'- 13 -'!$K$54</f>
        <v>0.00017847242619938014</v>
      </c>
      <c r="E31" s="319">
        <v>92284</v>
      </c>
      <c r="F31" s="322">
        <f>E31/'- 13 -'!$K$54</f>
        <v>7.112108342891021E-05</v>
      </c>
      <c r="G31" s="319">
        <v>5165</v>
      </c>
      <c r="H31" s="322">
        <f>G31/'- 13 -'!$K$54</f>
        <v>3.980542628303078E-06</v>
      </c>
      <c r="I31" s="319">
        <v>82</v>
      </c>
      <c r="J31" s="322">
        <f>I31/'- 13 -'!$K$54</f>
        <v>6.319544927799659E-08</v>
      </c>
      <c r="K31" s="321"/>
      <c r="L31" s="322">
        <f>K31/'- 13 -'!$K$54</f>
        <v>0</v>
      </c>
      <c r="M31" s="451"/>
    </row>
    <row r="32" spans="2:12" ht="12.75" customHeight="1">
      <c r="B32" s="306" t="s">
        <v>280</v>
      </c>
      <c r="C32" s="321">
        <v>681935.38</v>
      </c>
      <c r="D32" s="322">
        <f>C32/'- 13 -'!$K$54</f>
        <v>0.000525551374605626</v>
      </c>
      <c r="E32" s="319">
        <v>11292</v>
      </c>
      <c r="F32" s="322">
        <f>E32/'- 13 -'!$K$54</f>
        <v>8.702475771306555E-06</v>
      </c>
      <c r="G32" s="319">
        <v>3323</v>
      </c>
      <c r="H32" s="322">
        <f>G32/'- 13 -'!$K$54</f>
        <v>2.5609570481802763E-06</v>
      </c>
      <c r="I32" s="319">
        <v>89470.76</v>
      </c>
      <c r="J32" s="322">
        <f>I32/'- 13 -'!$K$54</f>
        <v>6.895298628590006E-05</v>
      </c>
      <c r="K32" s="319">
        <v>329107.47</v>
      </c>
      <c r="L32" s="322">
        <f>K32/'- 13 -'!$K$54</f>
        <v>0.00025363529789505833</v>
      </c>
    </row>
    <row r="33" spans="2:12" ht="12.75">
      <c r="B33" s="306" t="s">
        <v>281</v>
      </c>
      <c r="C33" s="321"/>
      <c r="D33" s="322">
        <f>C33/'- 13 -'!$K$54</f>
        <v>0</v>
      </c>
      <c r="E33" s="321"/>
      <c r="F33" s="322">
        <f>E33/'- 13 -'!$K$54</f>
        <v>0</v>
      </c>
      <c r="G33" s="319">
        <v>2522</v>
      </c>
      <c r="H33" s="322">
        <f>G33/'- 13 -'!$K$54</f>
        <v>1.943645403403749E-06</v>
      </c>
      <c r="I33" s="321"/>
      <c r="J33" s="322">
        <f>I33/'- 13 -'!$K$54</f>
        <v>0</v>
      </c>
      <c r="K33" s="319">
        <v>634350.33</v>
      </c>
      <c r="L33" s="322">
        <f>K33/'- 13 -'!$K$54</f>
        <v>0.0004888787085853097</v>
      </c>
    </row>
    <row r="34" spans="2:12" ht="12.75">
      <c r="B34" s="306" t="s">
        <v>282</v>
      </c>
      <c r="C34" s="321">
        <v>2839361.63</v>
      </c>
      <c r="D34" s="322">
        <f>C34/'- 13 -'!$K$54</f>
        <v>0.002188228461836033</v>
      </c>
      <c r="E34" s="319">
        <v>32716</v>
      </c>
      <c r="F34" s="322">
        <f>E34/'- 13 -'!$K$54</f>
        <v>2.5213442909499225E-05</v>
      </c>
      <c r="G34" s="319">
        <v>72004.23</v>
      </c>
      <c r="H34" s="322">
        <f>G34/'- 13 -'!$K$54</f>
        <v>5.549194713129512E-05</v>
      </c>
      <c r="I34" s="319">
        <v>13416</v>
      </c>
      <c r="J34" s="322">
        <f>I34/'- 13 -'!$K$54</f>
        <v>1.0339392042848808E-05</v>
      </c>
      <c r="K34" s="319">
        <v>241350.6</v>
      </c>
      <c r="L34" s="322">
        <f>K34/'- 13 -'!$K$54</f>
        <v>0.00018600316585992737</v>
      </c>
    </row>
    <row r="35" spans="2:12" ht="12.75">
      <c r="B35" s="306" t="s">
        <v>283</v>
      </c>
      <c r="C35" s="321">
        <v>2841166.85</v>
      </c>
      <c r="D35" s="322">
        <f>C35/'- 13 -'!$K$54</f>
        <v>0.002189619701945126</v>
      </c>
      <c r="E35" s="319">
        <v>64144</v>
      </c>
      <c r="F35" s="322">
        <f>E35/'- 13 -'!$K$54</f>
        <v>4.943425485960748E-05</v>
      </c>
      <c r="G35" s="319">
        <v>598079.44</v>
      </c>
      <c r="H35" s="322">
        <f>G35/'- 13 -'!$K$54</f>
        <v>0.00046092559652112925</v>
      </c>
      <c r="I35" s="319">
        <v>22131</v>
      </c>
      <c r="J35" s="322">
        <f>I35/'- 13 -'!$K$54</f>
        <v>1.7055835219162714E-05</v>
      </c>
      <c r="K35" s="319">
        <v>205339.09</v>
      </c>
      <c r="L35" s="322">
        <f>K35/'- 13 -'!$K$54</f>
        <v>0.00015824995179128019</v>
      </c>
    </row>
    <row r="36" spans="1:12" ht="12.75">
      <c r="A36" s="148"/>
      <c r="B36" s="318" t="s">
        <v>284</v>
      </c>
      <c r="C36" s="321"/>
      <c r="D36" s="322">
        <f>C36/'- 13 -'!$K$54</f>
        <v>0</v>
      </c>
      <c r="E36" s="321"/>
      <c r="F36" s="322">
        <f>E36/'- 13 -'!$K$54</f>
        <v>0</v>
      </c>
      <c r="G36" s="319">
        <v>2046</v>
      </c>
      <c r="H36" s="322">
        <f>G36/'- 13 -'!$K$54</f>
        <v>1.5768035271070856E-06</v>
      </c>
      <c r="I36" s="319"/>
      <c r="J36" s="322">
        <f>I36/'- 13 -'!$K$54</f>
        <v>0</v>
      </c>
      <c r="K36" s="321"/>
      <c r="L36" s="322">
        <f>K36/'- 13 -'!$K$54</f>
        <v>0</v>
      </c>
    </row>
    <row r="37" spans="2:12" ht="12.75">
      <c r="B37" s="306" t="s">
        <v>285</v>
      </c>
      <c r="C37" s="321">
        <v>212123</v>
      </c>
      <c r="D37" s="322">
        <f>C37/'- 13 -'!$K$54</f>
        <v>0.0001634781498438594</v>
      </c>
      <c r="E37" s="319">
        <v>17841</v>
      </c>
      <c r="F37" s="322">
        <f>E37/'- 13 -'!$K$54</f>
        <v>1.3749634275228502E-05</v>
      </c>
      <c r="G37" s="319">
        <v>13092</v>
      </c>
      <c r="H37" s="322">
        <f>G37/'- 13 -'!$K$54</f>
        <v>1.0089692950579651E-05</v>
      </c>
      <c r="I37" s="319">
        <v>62666.71</v>
      </c>
      <c r="J37" s="322">
        <f>I37/'- 13 -'!$K$54</f>
        <v>4.829574260029173E-05</v>
      </c>
      <c r="K37" s="319">
        <v>719214</v>
      </c>
      <c r="L37" s="322">
        <f>K37/'- 13 -'!$K$54</f>
        <v>0.0005542811202076224</v>
      </c>
    </row>
    <row r="38" spans="2:12" ht="12.75">
      <c r="B38" s="306" t="s">
        <v>286</v>
      </c>
      <c r="C38" s="321">
        <v>436388.51</v>
      </c>
      <c r="D38" s="322">
        <f>C38/'- 13 -'!$K$54</f>
        <v>0.000336314243282994</v>
      </c>
      <c r="E38" s="319">
        <v>31664.14</v>
      </c>
      <c r="F38" s="322">
        <f>E38/'- 13 -'!$K$54</f>
        <v>2.440279943050467E-05</v>
      </c>
      <c r="G38" s="319">
        <v>243606</v>
      </c>
      <c r="H38" s="322">
        <f>G38/'- 13 -'!$K$54</f>
        <v>0.00018774134898555655</v>
      </c>
      <c r="I38" s="319">
        <v>21881</v>
      </c>
      <c r="J38" s="322">
        <f>I38/'- 13 -'!$K$54</f>
        <v>1.6863166166485893E-05</v>
      </c>
      <c r="K38" s="319">
        <v>1627669.77</v>
      </c>
      <c r="L38" s="322">
        <f>K38/'- 13 -'!$K$54</f>
        <v>0.0012544063706263827</v>
      </c>
    </row>
    <row r="39" spans="2:12" ht="12.75">
      <c r="B39" s="349" t="s">
        <v>345</v>
      </c>
      <c r="C39" s="321">
        <v>371597</v>
      </c>
      <c r="D39" s="322">
        <f>C39/'- 13 -'!$K$54</f>
        <v>0.0002863809678701914</v>
      </c>
      <c r="E39" s="321">
        <v>174381.1</v>
      </c>
      <c r="F39" s="322">
        <f>E39/'- 13 -'!$K$54</f>
        <v>0.00013439136536696648</v>
      </c>
      <c r="G39" s="321">
        <v>21068</v>
      </c>
      <c r="H39" s="322">
        <f>G39/'- 13 -'!$K$54</f>
        <v>1.623660640718088E-05</v>
      </c>
      <c r="I39" s="321">
        <v>12897</v>
      </c>
      <c r="J39" s="322">
        <f>I39/'- 13 -'!$K$54</f>
        <v>9.939411089491731E-06</v>
      </c>
      <c r="K39" s="321">
        <v>624806.72</v>
      </c>
      <c r="L39" s="322">
        <f>K39/'- 13 -'!$K$54</f>
        <v>0.00048152367539404167</v>
      </c>
    </row>
    <row r="40" spans="2:12" ht="12.75">
      <c r="B40" s="306" t="s">
        <v>287</v>
      </c>
      <c r="C40" s="321">
        <v>3910780.21</v>
      </c>
      <c r="D40" s="322">
        <f>C40/'- 13 -'!$K$54</f>
        <v>0.003013945273151803</v>
      </c>
      <c r="E40" s="319">
        <v>19849</v>
      </c>
      <c r="F40" s="322">
        <f>E40/'- 13 -'!$K$54</f>
        <v>1.5297152106328712E-05</v>
      </c>
      <c r="G40" s="319">
        <v>43152</v>
      </c>
      <c r="H40" s="322">
        <f>G40/'- 13 -'!$K$54</f>
        <v>3.325621984444035E-05</v>
      </c>
      <c r="I40" s="319">
        <v>2283</v>
      </c>
      <c r="J40" s="322">
        <f>I40/'- 13 -'!$K$54</f>
        <v>1.7594537890447098E-06</v>
      </c>
      <c r="K40" s="319">
        <v>713212.38</v>
      </c>
      <c r="L40" s="322">
        <f>K40/'- 13 -'!$K$54</f>
        <v>0.0005496558144479174</v>
      </c>
    </row>
    <row r="41" spans="3:12" ht="4.5" customHeight="1">
      <c r="C41" s="323"/>
      <c r="D41" s="323"/>
      <c r="E41" s="323"/>
      <c r="F41" s="323"/>
      <c r="G41" s="323"/>
      <c r="H41" s="323"/>
      <c r="I41" s="323"/>
      <c r="J41" s="323"/>
      <c r="K41" s="323"/>
      <c r="L41" s="323"/>
    </row>
    <row r="42" spans="1:12" ht="12.75">
      <c r="A42" s="74">
        <v>700</v>
      </c>
      <c r="B42" s="325" t="s">
        <v>288</v>
      </c>
      <c r="C42" s="321">
        <f>SUM(C43:C47)</f>
        <v>52305324.58</v>
      </c>
      <c r="D42" s="322">
        <f>C42/'- 13 -'!$K$54</f>
        <v>0.040310469347128515</v>
      </c>
      <c r="E42" s="321">
        <f>SUM(E43:E47)</f>
        <v>2718125.46</v>
      </c>
      <c r="F42" s="322">
        <f>E42/'- 13 -'!$K$54</f>
        <v>0.00209479462973977</v>
      </c>
      <c r="G42" s="321">
        <f>SUM(G43:G47)</f>
        <v>783785.51</v>
      </c>
      <c r="H42" s="322">
        <f>G42/'- 13 -'!$K$54</f>
        <v>0.0006040448468540694</v>
      </c>
      <c r="I42" s="321">
        <f>SUM(I43:I47)</f>
        <v>611278.56</v>
      </c>
      <c r="J42" s="322">
        <f>I42/'- 13 -'!$K$54</f>
        <v>0.00047109784430739995</v>
      </c>
      <c r="K42" s="321">
        <f>SUM(K43:K47)</f>
        <v>2768299.82</v>
      </c>
      <c r="L42" s="322">
        <f>K42/'- 13 -'!$K$54</f>
        <v>0.0021334628153792325</v>
      </c>
    </row>
    <row r="43" spans="2:12" ht="12.75">
      <c r="B43" s="306" t="s">
        <v>289</v>
      </c>
      <c r="C43" s="321">
        <v>19076640.58</v>
      </c>
      <c r="D43" s="322">
        <f>C43/'- 13 -'!$K$54</f>
        <v>0.01470191307521904</v>
      </c>
      <c r="E43" s="319">
        <v>1536964.36</v>
      </c>
      <c r="F43" s="322">
        <f>E43/'- 13 -'!$K$54</f>
        <v>0.0011845018689569328</v>
      </c>
      <c r="G43" s="319">
        <v>223232.5</v>
      </c>
      <c r="H43" s="322">
        <f>G43/'- 13 -'!$K$54</f>
        <v>0.00017203997720671187</v>
      </c>
      <c r="I43" s="319">
        <v>320821.02</v>
      </c>
      <c r="J43" s="322">
        <f>I43/'- 13 -'!$K$54</f>
        <v>0.00024724912800884306</v>
      </c>
      <c r="K43" s="319">
        <v>1507305.38</v>
      </c>
      <c r="L43" s="322">
        <f>K43/'- 13 -'!$K$54</f>
        <v>0.0011616443986370898</v>
      </c>
    </row>
    <row r="44" spans="2:12" ht="12.75">
      <c r="B44" s="306" t="s">
        <v>351</v>
      </c>
      <c r="C44" s="321">
        <v>9983223.459999999</v>
      </c>
      <c r="D44" s="322">
        <f>C44/'- 13 -'!$K$54</f>
        <v>0.0076938328267967745</v>
      </c>
      <c r="E44" s="319">
        <v>526566.14</v>
      </c>
      <c r="F44" s="322">
        <f>E44/'- 13 -'!$K$54</f>
        <v>0.00040581199746195673</v>
      </c>
      <c r="G44" s="319">
        <v>133322</v>
      </c>
      <c r="H44" s="322">
        <f>G44/'- 13 -'!$K$54</f>
        <v>0.00010274809376391537</v>
      </c>
      <c r="I44" s="319">
        <v>106401.62</v>
      </c>
      <c r="J44" s="322">
        <f>I44/'- 13 -'!$K$54</f>
        <v>8.200119731471545E-05</v>
      </c>
      <c r="K44" s="319">
        <v>106390.74</v>
      </c>
      <c r="L44" s="322">
        <f>K44/'- 13 -'!$K$54</f>
        <v>8.199281235754297E-05</v>
      </c>
    </row>
    <row r="45" spans="2:12" ht="12.75">
      <c r="B45" s="306" t="s">
        <v>290</v>
      </c>
      <c r="C45" s="321">
        <v>7417952.41</v>
      </c>
      <c r="D45" s="322">
        <f>C45/'- 13 -'!$K$54</f>
        <v>0.005716839454545702</v>
      </c>
      <c r="E45" s="319">
        <v>258786.83</v>
      </c>
      <c r="F45" s="322">
        <f>E45/'- 13 -'!$K$54</f>
        <v>0.00019944085352534787</v>
      </c>
      <c r="G45" s="319">
        <v>74533.01</v>
      </c>
      <c r="H45" s="322">
        <f>G45/'- 13 -'!$K$54</f>
        <v>5.7440817719407465E-05</v>
      </c>
      <c r="I45" s="319">
        <v>42124</v>
      </c>
      <c r="J45" s="322">
        <f>I45/'- 13 -'!$K$54</f>
        <v>3.246396469983327E-05</v>
      </c>
      <c r="K45" s="319">
        <v>241622.4</v>
      </c>
      <c r="L45" s="322">
        <f>K45/'- 13 -'!$K$54</f>
        <v>0.0001862126356539976</v>
      </c>
    </row>
    <row r="46" spans="2:12" ht="12.75">
      <c r="B46" s="306" t="s">
        <v>291</v>
      </c>
      <c r="C46" s="321">
        <v>19709</v>
      </c>
      <c r="D46" s="322">
        <f>C46/'- 13 -'!$K$54</f>
        <v>1.5189257436829691E-05</v>
      </c>
      <c r="E46" s="319">
        <v>64405</v>
      </c>
      <c r="F46" s="322">
        <f>E46/'- 13 -'!$K$54</f>
        <v>4.9635401350602074E-05</v>
      </c>
      <c r="G46" s="319">
        <v>5029</v>
      </c>
      <c r="H46" s="322">
        <f>G46/'- 13 -'!$K$54</f>
        <v>3.875730663646888E-06</v>
      </c>
      <c r="I46" s="319">
        <v>2130</v>
      </c>
      <c r="J46" s="322">
        <f>I46/'- 13 -'!$K$54</f>
        <v>1.6415403288064967E-06</v>
      </c>
      <c r="K46" s="319">
        <v>13583</v>
      </c>
      <c r="L46" s="322">
        <f>K46/'- 13 -'!$K$54</f>
        <v>1.0468094970036923E-05</v>
      </c>
    </row>
    <row r="47" spans="2:12" ht="12.75">
      <c r="B47" s="306" t="s">
        <v>292</v>
      </c>
      <c r="C47" s="321">
        <v>15807799.129999999</v>
      </c>
      <c r="D47" s="322">
        <f>C47/'- 13 -'!$K$54</f>
        <v>0.012182694733130165</v>
      </c>
      <c r="E47" s="319">
        <v>331403.13</v>
      </c>
      <c r="F47" s="322">
        <f>E47/'- 13 -'!$K$54</f>
        <v>0.0002554045084449306</v>
      </c>
      <c r="G47" s="319">
        <v>347669</v>
      </c>
      <c r="H47" s="322">
        <f>G47/'- 13 -'!$K$54</f>
        <v>0.00026794022750038776</v>
      </c>
      <c r="I47" s="319">
        <v>139801.92</v>
      </c>
      <c r="J47" s="322">
        <f>I47/'- 13 -'!$K$54</f>
        <v>0.00010774201395520167</v>
      </c>
      <c r="K47" s="319">
        <v>899398.3</v>
      </c>
      <c r="L47" s="322">
        <f>K47/'- 13 -'!$K$54</f>
        <v>0.0006931448737605653</v>
      </c>
    </row>
    <row r="48" spans="3:12" ht="4.5" customHeight="1">
      <c r="C48" s="323"/>
      <c r="D48" s="323"/>
      <c r="E48" s="323"/>
      <c r="F48" s="323"/>
      <c r="G48" s="323"/>
      <c r="H48" s="323"/>
      <c r="I48" s="323"/>
      <c r="J48" s="323"/>
      <c r="K48" s="323"/>
      <c r="L48" s="323"/>
    </row>
    <row r="49" spans="1:12" ht="12.75">
      <c r="A49" s="74">
        <v>900</v>
      </c>
      <c r="B49" s="325" t="s">
        <v>115</v>
      </c>
      <c r="C49" s="321"/>
      <c r="D49" s="322"/>
      <c r="E49" s="321"/>
      <c r="F49" s="322"/>
      <c r="G49" s="321"/>
      <c r="H49" s="322"/>
      <c r="I49" s="321"/>
      <c r="J49" s="322"/>
      <c r="K49" s="321"/>
      <c r="L49" s="322"/>
    </row>
    <row r="50" spans="2:12" ht="12.75">
      <c r="B50" s="306" t="s">
        <v>293</v>
      </c>
      <c r="C50" s="321"/>
      <c r="D50" s="322"/>
      <c r="E50" s="321"/>
      <c r="F50" s="322"/>
      <c r="G50" s="321"/>
      <c r="H50" s="322"/>
      <c r="I50" s="321"/>
      <c r="J50" s="322"/>
      <c r="K50" s="321"/>
      <c r="L50" s="322"/>
    </row>
    <row r="51" spans="2:12" ht="12.75">
      <c r="B51" s="306" t="s">
        <v>294</v>
      </c>
      <c r="C51" s="321"/>
      <c r="D51" s="322"/>
      <c r="E51" s="321"/>
      <c r="F51" s="322"/>
      <c r="G51" s="321"/>
      <c r="H51" s="322"/>
      <c r="I51" s="321"/>
      <c r="J51" s="322"/>
      <c r="K51" s="321"/>
      <c r="L51" s="322"/>
    </row>
    <row r="52" spans="2:12" ht="12.75">
      <c r="B52" s="306" t="s">
        <v>295</v>
      </c>
      <c r="C52" s="321"/>
      <c r="D52" s="322"/>
      <c r="E52" s="321"/>
      <c r="F52" s="322"/>
      <c r="G52" s="321"/>
      <c r="H52" s="322"/>
      <c r="I52" s="321"/>
      <c r="J52" s="322"/>
      <c r="K52" s="321"/>
      <c r="L52" s="322"/>
    </row>
    <row r="53" spans="3:12" ht="4.5" customHeight="1">
      <c r="C53" s="148"/>
      <c r="D53" s="223"/>
      <c r="E53" s="148"/>
      <c r="F53" s="223"/>
      <c r="G53" s="148"/>
      <c r="H53" s="223"/>
      <c r="I53" s="148"/>
      <c r="J53" s="223"/>
      <c r="K53" s="148"/>
      <c r="L53" s="223"/>
    </row>
    <row r="54" spans="2:12" ht="12.75">
      <c r="B54" s="287" t="s">
        <v>296</v>
      </c>
      <c r="C54" s="288">
        <f>SUM(C49,C42,C25,C23,C13)</f>
        <v>756656609.0600002</v>
      </c>
      <c r="D54" s="289">
        <f>C54/'- 13 -'!$K$54</f>
        <v>0.5831372482769772</v>
      </c>
      <c r="E54" s="288">
        <f>SUM(E49,E42,E25,E23,E13)</f>
        <v>179917545.5</v>
      </c>
      <c r="F54" s="289">
        <f>E54/'- 13 -'!$K$54</f>
        <v>0.13865817220569382</v>
      </c>
      <c r="G54" s="288">
        <f>SUM(G49,G42,G25,G23,G13)</f>
        <v>7265082.08</v>
      </c>
      <c r="H54" s="289">
        <f>G54/'- 13 -'!$K$54</f>
        <v>0.005599025927891731</v>
      </c>
      <c r="I54" s="288">
        <f>SUM(I49,I42,I25,I23,I13)</f>
        <v>8800696.969999999</v>
      </c>
      <c r="J54" s="289">
        <f>I54/'- 13 -'!$K$54</f>
        <v>0.0067824877924226</v>
      </c>
      <c r="K54" s="288">
        <f>SUM(K49,K42,K25,K23,K13)</f>
        <v>47893158.36000001</v>
      </c>
      <c r="L54" s="289">
        <f>K54/'- 13 -'!$K$54</f>
        <v>0.036910117803688275</v>
      </c>
    </row>
    <row r="55" ht="6" customHeight="1"/>
    <row r="56" spans="1:2" ht="12.75">
      <c r="A56" s="395" t="s">
        <v>354</v>
      </c>
      <c r="B56" s="4" t="s">
        <v>463</v>
      </c>
    </row>
  </sheetData>
  <mergeCells count="1">
    <mergeCell ref="M29:M31"/>
  </mergeCells>
  <printOptions verticalCentered="1"/>
  <pageMargins left="0.5" right="0" top="0.3" bottom="0.3" header="0" footer="0"/>
  <pageSetup fitToHeight="1" fitToWidth="1" horizontalDpi="300" verticalDpi="3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2003-07-24T21:19:00Z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